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а" sheetId="1" r:id="rId1"/>
    <sheet name="Базовые цены за единицу без нач" sheetId="2" r:id="rId2"/>
    <sheet name="Базовые цены за единицу" sheetId="3" r:id="rId3"/>
    <sheet name="Текущие цены за единицу" sheetId="4" r:id="rId4"/>
    <sheet name="Базовые цены с учетом расхода" sheetId="5" r:id="rId5"/>
    <sheet name="Текущие цены с учетом расхода" sheetId="6" r:id="rId6"/>
    <sheet name="Начисления" sheetId="7" r:id="rId7"/>
    <sheet name="Определители" sheetId="8" r:id="rId8"/>
    <sheet name="Базовые концовки" sheetId="9" r:id="rId9"/>
    <sheet name="Текущие концовки" sheetId="10" r:id="rId10"/>
  </sheets>
  <definedNames/>
  <calcPr fullCalcOnLoad="1"/>
</workbook>
</file>

<file path=xl/sharedStrings.xml><?xml version="1.0" encoding="utf-8"?>
<sst xmlns="http://schemas.openxmlformats.org/spreadsheetml/2006/main" count="2468" uniqueCount="393">
  <si>
    <t>«СОГЛАСОВАНО»</t>
  </si>
  <si>
    <t>«УТВЕРЖДАЮ»</t>
  </si>
  <si>
    <t>________________ /______________________ /</t>
  </si>
  <si>
    <t>«______»____________________ 20___г.</t>
  </si>
  <si>
    <t>ЛОКАЛЬНАЯ СМЕТА № ремонт пола</t>
  </si>
  <si>
    <t>(Локальный сметный расчет)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</si>
  <si>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</si>
  <si>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</si>
  <si>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</si>
  <si>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</si>
  <si>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</si>
  <si>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01.01.2000 и текущих ценах на 07.2018 г. по НБ: "ФЕР-2001 в редакции 2017 года (приказ Минстроя России № 1039/пр)".</t>
  </si>
  <si>
    <t>№ пп</t>
  </si>
  <si>
    <t>Шифр расценки и коды ресурсов</t>
  </si>
  <si>
    <t>Наименование работ и затрат</t>
  </si>
  <si>
    <t>Единица измерения</t>
  </si>
  <si>
    <t>Количество</t>
  </si>
  <si>
    <t>Цена на единицу измерения</t>
  </si>
  <si>
    <t>Поправ. коэфф.</t>
  </si>
  <si>
    <t>Стоимость в ценах 2000 г.</t>
  </si>
  <si>
    <t>Пункт коэфф. пересч.</t>
  </si>
  <si>
    <t>Коэффициенты пересчета</t>
  </si>
  <si>
    <t>Стоимость в текущих ценах</t>
  </si>
  <si>
    <t>Затраты труда рабочих</t>
  </si>
  <si>
    <t>Раздел 1.  Демонтажные работы</t>
  </si>
  <si>
    <t>1.</t>
  </si>
  <si>
    <t>ФЕРр 57-3-1
(Приказ № 1039/пр от 30.12.2016)</t>
  </si>
  <si>
    <t>Разборка плинтусов: деревянных и из пластмассовых материалов</t>
  </si>
  <si>
    <t>100 м</t>
  </si>
  <si>
    <t>Зарплата рабочих</t>
  </si>
  <si>
    <t>sum</t>
  </si>
  <si>
    <t>IsZPR</t>
  </si>
  <si>
    <t xml:space="preserve"> ФССЦ 999-9900</t>
  </si>
  <si>
    <t xml:space="preserve">  Строительный мусор</t>
  </si>
  <si>
    <t>т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</si>
  <si>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</si>
  <si>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</si>
  <si>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</si>
  <si>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</si>
  <si>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Вспомогательные ненормируемые материалы</t>
  </si>
  <si>
    <t>NenormMatOtZPR</t>
  </si>
  <si>
    <t>IsMater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</si>
  <si>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</si>
  <si>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</si>
  <si>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</si>
  <si>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</si>
  <si>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</si>
  <si>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</si>
  <si>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</si>
  <si>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</si>
  <si>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</si>
  <si>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Плановые накопления / Сметная прибыль</t>
  </si>
  <si>
    <t>Plan</t>
  </si>
  <si>
    <t>СП от ЗПР</t>
  </si>
  <si>
    <t>Plan_ZPR</t>
  </si>
  <si>
    <t>СП от ЗПМ</t>
  </si>
  <si>
    <t>Plan_ZPM</t>
  </si>
  <si>
    <t>Затраты труда</t>
  </si>
  <si>
    <t>чел-ч</t>
  </si>
  <si>
    <t>Г</t>
  </si>
  <si>
    <t>2.</t>
  </si>
  <si>
    <t>ФЕРр 57-2-1
(Приказ № 1039/пр от 30.12.2016)</t>
  </si>
  <si>
    <t>Разборка покрытий полов: из линолеума и релина</t>
  </si>
  <si>
    <t>100 м2</t>
  </si>
  <si>
    <t>IsZPM</t>
  </si>
  <si>
    <t>3.</t>
  </si>
  <si>
    <t>ФЕРр 57-1-4
(Приказ № 1039/пр от 30.12.2016)</t>
  </si>
  <si>
    <t>Разборка оснований покрытия полов: дощатых оснований щитового паркета</t>
  </si>
  <si>
    <t>4.</t>
  </si>
  <si>
    <t>ФЕРр 57-1-2
(Приказ № 1039/пр от 30.12.2016)</t>
  </si>
  <si>
    <t>Разборка оснований покрытия полов: лаг из досок и брусков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</si>
  <si>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</si>
  <si>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</si>
  <si>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</si>
  <si>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</si>
  <si>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</si>
  <si>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</si>
  <si>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</si>
  <si>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</si>
  <si>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</si>
  <si>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</si>
  <si>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</si>
  <si>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</si>
  <si>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</si>
  <si>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</si>
  <si>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МАТЕРИАЛЬНЫЕ 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</si>
  <si>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</si>
  <si>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</si>
  <si>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</si>
  <si>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</si>
  <si>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</si>
  <si>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</si>
  <si>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</si>
  <si>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</si>
  <si>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</si>
  <si>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</si>
  <si>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</si>
  <si>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</si>
  <si>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</si>
  <si>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</si>
  <si>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</si>
  <si>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</si>
  <si>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РЕСТАВРАЦИОННЫХ РАБОТ -</t>
  </si>
  <si>
    <t>ВСЕГО, СТОИМОСТЬ РЕСТАВРАЦИОННЫХ РАБОТ -</t>
  </si>
  <si>
    <t>СТОИМОСТЬ ПЕРЕВОЗКИ ГРУЗОВ -</t>
  </si>
  <si>
    <t>.   В Т.Ч. НАКЛАДНЫЕ РАСХОДЫ -</t>
  </si>
  <si>
    <t>.   В Т.Ч. СМЕТНАЯ ПРИБЫЛЬ -</t>
  </si>
  <si>
    <t>ВСЕГО, СТОИМОСТЬ ПЕРЕВОЗКИ ГРУЗОВ -</t>
  </si>
  <si>
    <t>СТОИМОСТЬ ПУСКОНАЛАДОЧНЫХ РАБОТ -</t>
  </si>
  <si>
    <t>ВСЕГО, СТОИМОСТЬ ПУСКОНАЛАДОЧНЫХ РАБОТ -</t>
  </si>
  <si>
    <t>СТОИМОСТЬ ПРОЧИХ РАБОТ (с НР и СП) -</t>
  </si>
  <si>
    <t>ВСЕГО, СТОИМОСТЬ ПРОЧИХ РАБОТ (с НР и СП) -</t>
  </si>
  <si>
    <t>ВСЕГО, СТОИМОСТЬ ПРОЧИХ РАБОТ (без НР и СП) -</t>
  </si>
  <si>
    <t>ВСЕГО СТОИМОСТЬ ВОЗВРАЩАЕМЫХ МАТЕРИАЛОВ -</t>
  </si>
  <si>
    <t>ВСЕГО НАКЛАДНЫЕ РАСХОДЫ</t>
  </si>
  <si>
    <t>ВСЕГО СМЕТНАЯ ПРИБЫЛЬ</t>
  </si>
  <si>
    <t>в т.ч. Вспомогательные материалы от ОЗП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</si>
  <si>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</si>
  <si>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</si>
  <si>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</si>
  <si>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</si>
  <si>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</si>
  <si>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</si>
  <si>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Раздел 2.  Устройство пола</t>
  </si>
  <si>
    <t>5.</t>
  </si>
  <si>
    <t>ФЕР 11-01-008-03
(Приказ № 1039/пр от 30.12.2016)</t>
  </si>
  <si>
    <t>Устройство тепло- и звукоизоляции засыпной: керамзитовой</t>
  </si>
  <si>
    <t>м3</t>
  </si>
  <si>
    <t>1,15</t>
  </si>
  <si>
    <t>1,25</t>
  </si>
  <si>
    <t>Материальные ресурсы</t>
  </si>
  <si>
    <t xml:space="preserve"> ФССЦ 02.2.01.03-0012</t>
  </si>
  <si>
    <t xml:space="preserve">  Гравий керамзитовый, фракция: 10-20 мм, марка 300</t>
  </si>
  <si>
    <t>6.</t>
  </si>
  <si>
    <t>ФЕР 11-01-002-01
(Приказ № 1039/пр от 30.12.2016)</t>
  </si>
  <si>
    <t>Устройство подстилающих слоев: песчаных</t>
  </si>
  <si>
    <t xml:space="preserve"> ФССЦ 02.3.01.02-0015</t>
  </si>
  <si>
    <t xml:space="preserve">  Песок природный для строительных: работ средний</t>
  </si>
  <si>
    <t>7.</t>
  </si>
  <si>
    <t>ФЕР 11-01-004-05
(Приказ № 1039/пр от 30.12.2016)</t>
  </si>
  <si>
    <t>Устройство гидроизоляции обмазочной: в один слой толщиной 2 мм</t>
  </si>
  <si>
    <t>8.</t>
  </si>
  <si>
    <t>ФЕР 11-01-011-03
(Приказ № 1039/пр от 30.12.2016)</t>
  </si>
  <si>
    <t>Устройство стяжек: бетонных толщиной 20 мм</t>
  </si>
  <si>
    <t xml:space="preserve"> ФССЦ 04.1.02.05-0009</t>
  </si>
  <si>
    <t xml:space="preserve">  Бетон тяжелый, класс: В25 (М350)</t>
  </si>
  <si>
    <t>9.</t>
  </si>
  <si>
    <t>ФЕР 11-01-011-04
(Приказ № 1039/пр от 30.12.2016)</t>
  </si>
  <si>
    <t>Устройство стяжек: на каждые 5 мм изменения толщины стяжки добавлять или исключать к расценке 11-01-011-03 
(30-20=10 мм, 10/5=2)</t>
  </si>
  <si>
    <t>2,3</t>
  </si>
  <si>
    <t>2,5</t>
  </si>
  <si>
    <t>10.</t>
  </si>
  <si>
    <t>ФЕР 06-01-015-10
(Приказ № 1039/пр от 30.12.2016)</t>
  </si>
  <si>
    <t>Армирование подстилающих слоев и набетонок</t>
  </si>
  <si>
    <t xml:space="preserve"> ФССЦ 08.4.03.04-0001</t>
  </si>
  <si>
    <t xml:space="preserve">  Горячекатаная арматурная сталь класса: А-I, А-II, А-III</t>
  </si>
  <si>
    <t>11.</t>
  </si>
  <si>
    <t>ФЕР 11-01-011-09
(Приказ № 1039/пр от 30.12.2016)</t>
  </si>
  <si>
    <t>Устройство стяжек: из выравнивающей смеси типа "Ветонит" 3000, толщиной 3 мм</t>
  </si>
  <si>
    <t>12.</t>
  </si>
  <si>
    <t>ФЕР 11-01-047-01
(Приказ № 1039/пр от 30.12.2016)</t>
  </si>
  <si>
    <t>Устройство покрытий из плит керамогранитных размером: 40х40 см</t>
  </si>
  <si>
    <t>13.</t>
  </si>
  <si>
    <t>ФЕР 11-01-039-04
(Приказ № 1039/пр от 30.12.2016)</t>
  </si>
  <si>
    <t>Устройство плинтусов: из плиток керамических</t>
  </si>
  <si>
    <t xml:space="preserve"> ФССЦ 04.3.01.09-0018</t>
  </si>
  <si>
    <t xml:space="preserve">  Раствор готовый кладочный цементный марки: 300</t>
  </si>
  <si>
    <t xml:space="preserve"> ФССЦ 06.2.05.03-0056</t>
  </si>
  <si>
    <t xml:space="preserve">  Плитки керамогранитные размером: 300х300х8 мм, темно-серые</t>
  </si>
  <si>
    <t>м2</t>
  </si>
  <si>
    <t>.    ИТОГО  ПО  СМЕТЕ</t>
  </si>
  <si>
    <t>. ВСЕГО  ПО  СМЕТЕ</t>
  </si>
  <si>
    <t>Составил:</t>
  </si>
  <si>
    <t>(должность, подпись, Ф.И.О)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</si>
  <si>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</si>
  <si>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</si>
  <si>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</si>
  <si>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</si>
  <si>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</si>
  <si>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</si>
  <si>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</si>
  <si>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</si>
  <si>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</si>
  <si>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</si>
  <si>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</si>
  <si>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</si>
  <si>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</si>
  <si>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</si>
  <si>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</si>
  <si>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</si>
  <si>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</si>
  <si>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</si>
  <si>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</si>
  <si>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</si>
  <si>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</si>
  <si>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</si>
  <si>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</si>
  <si>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</si>
  <si>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</si>
  <si>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</si>
  <si>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</si>
  <si>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</si>
  <si>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</si>
  <si>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MR_BY_ZPR_VSPOMOG</t>
  </si>
  <si>
    <t>NAKL_INC</t>
  </si>
  <si>
    <t>PLAN_INC</t>
  </si>
  <si>
    <t>RN14</t>
  </si>
  <si>
    <t>RN15</t>
  </si>
  <si>
    <t>RN16</t>
  </si>
  <si>
    <t>OBORUD</t>
  </si>
  <si>
    <t>N = &lt; Павел * Для сайта * ремонт пола &gt;</t>
  </si>
  <si>
    <t xml:space="preserve">          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</si>
  <si>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</si>
  <si>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</si>
  <si>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</si>
  <si>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</si>
  <si>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</si>
  <si>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</si>
  <si>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</si>
  <si>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</si>
  <si>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</si>
  <si>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</si>
  <si>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</si>
  <si>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</si>
  <si>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</si>
  <si>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</si>
  <si>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</si>
  <si>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</si>
  <si>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</si>
  <si>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</si>
  <si>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</si>
  <si>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</si>
  <si>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</si>
  <si>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</si>
  <si>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</si>
  <si>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</si>
  <si>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</si>
  <si>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</si>
  <si>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</si>
  <si>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</si>
  <si>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</si>
  <si>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</si>
  <si>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</si>
  <si>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</si>
  <si>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</si>
  <si>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</si>
  <si>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</si>
  <si>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</si>
  <si>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</si>
  <si>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</si>
  <si>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</si>
  <si>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</si>
  <si>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</si>
  <si>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</si>
  <si>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</si>
  <si>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</si>
  <si>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</si>
  <si>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</si>
  <si>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</si>
  <si>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</si>
  <si>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</si>
  <si>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</si>
  <si>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</si>
  <si>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</si>
  <si>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</si>
  <si>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</si>
  <si>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</si>
  <si>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</si>
  <si>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</si>
  <si>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</si>
  <si>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</si>
  <si>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</si>
  <si>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</si>
  <si>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</si>
  <si>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</si>
  <si>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</si>
  <si>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</si>
  <si>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</si>
  <si>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</si>
  <si>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</si>
  <si>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</si>
  <si>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</si>
  <si>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</si>
  <si>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</si>
  <si>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</si>
  <si>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</si>
  <si>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</si>
  <si>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</si>
  <si>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!</t>
  </si>
  <si>
    <t>h</t>
  </si>
  <si>
    <t>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</si>
  <si>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</si>
  <si>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</si>
  <si>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</si>
  <si>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</si>
  <si>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</si>
  <si>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</si>
  <si>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</si>
  <si>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</si>
  <si>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</si>
  <si>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</si>
  <si>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</si>
  <si>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</si>
  <si>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</si>
  <si>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</si>
  <si>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</si>
  <si>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</si>
  <si>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</si>
  <si>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</si>
  <si>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</si>
  <si>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</si>
  <si>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</si>
  <si>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</si>
  <si>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</si>
  <si>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</si>
  <si>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</si>
  <si>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</si>
  <si>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</si>
  <si>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</si>
  <si>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</si>
  <si>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</si>
  <si>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</si>
  <si>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</si>
  <si>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</si>
  <si>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</si>
  <si>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</si>
  <si>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</si>
  <si>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</si>
  <si>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</si>
  <si>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</si>
  <si>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</si>
  <si>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</si>
  <si>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</si>
  <si>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</si>
  <si>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</si>
  <si>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</si>
  <si>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</si>
  <si>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</si>
  <si>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</si>
  <si>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</si>
  <si>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</si>
  <si>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</si>
  <si>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</si>
  <si>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</si>
  <si>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</si>
  <si>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</si>
  <si>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</si>
  <si>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</si>
  <si>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</si>
  <si>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</si>
  <si>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</si>
  <si>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</si>
  <si>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</si>
  <si>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</si>
  <si>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</si>
  <si>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</si>
  <si>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</si>
  <si>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</si>
  <si>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</si>
  <si>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</si>
  <si>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</si>
  <si>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</si>
  <si>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</si>
  <si>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</si>
  <si>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</si>
  <si>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</si>
  <si>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</si>
  <si>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</si>
  <si>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</si>
  <si>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</si>
  <si>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</si>
  <si>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</si>
  <si>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</si>
  <si>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</si>
  <si>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</si>
  <si>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</si>
  <si>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ЛОКАЛЬНАЯ СМЕТА № 1</t>
  </si>
  <si>
    <t>ВСЕГО  ПО  РАЗДЕЛУ 1</t>
  </si>
  <si>
    <t>57-3-1</t>
  </si>
  <si>
    <t>57-2-1</t>
  </si>
  <si>
    <t>57-1-4</t>
  </si>
  <si>
    <t>57-1-2</t>
  </si>
  <si>
    <t>11-01-008-03</t>
  </si>
  <si>
    <t>11-01-002-01</t>
  </si>
  <si>
    <t>11-01-004-05</t>
  </si>
  <si>
    <t>11-01-011-03</t>
  </si>
  <si>
    <t>11-01-011-04</t>
  </si>
  <si>
    <t>06-01-015-10</t>
  </si>
  <si>
    <t>11-01-011-09</t>
  </si>
  <si>
    <t>11-01-047-01</t>
  </si>
  <si>
    <t>11-01-039-04</t>
  </si>
  <si>
    <t>ВСЕГО  ПО  РАЗДЕЛУ 2</t>
  </si>
  <si>
    <t>ВСЕГО  ПО  СМЕТЕ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</si>
</sst>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General;\-General;"/>
    <numFmt numFmtId="165" formatCode="#\ ###\ ##0.#0"/>
    <numFmt numFmtId="166" formatCode="##0"/>
    <numFmt numFmtId="167" formatCode="#,##0.00;\-#,##0.00;"/>
    <numFmt numFmtId="168" formatCode="#,##0.000;\-#,##0.000;"/>
    <numFmt numFmtId="169" formatCode="#,##0.##;\-#,##0.##;#\ ##"/>
    <numFmt numFmtId="170" formatCode="#,##0.00000000;\-#,##0.00000000;"/>
    <numFmt numFmtId="171" formatCode="#,##0.00######################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b/>
      <u val="single"/>
      <sz val="8"/>
      <name val="Verdana"/>
      <family val="0"/>
    </font>
    <font>
      <i/>
      <sz val="8"/>
      <name val="Verdana"/>
      <family val="0"/>
    </font>
    <font>
      <sz val="8"/>
      <color indexed="9"/>
      <name val="Verdana"/>
      <family val="0"/>
    </font>
    <font>
      <sz val="1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top" wrapText="1"/>
    </xf>
    <xf numFmtId="167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168" fontId="0" fillId="0" borderId="0" xfId="0" applyNumberFormat="1" applyFont="1" applyAlignment="1">
      <alignment horizontal="right" vertical="top" wrapText="1"/>
    </xf>
    <xf numFmtId="164" fontId="5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7" fontId="2" fillId="0" borderId="12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horizontal="left" vertical="top" wrapText="1"/>
    </xf>
    <xf numFmtId="167" fontId="0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169" fontId="2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170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71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49" fontId="3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71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vertical="top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X499"/>
  <sheetViews>
    <sheetView tabSelected="1" zoomScalePageLayoutView="0" workbookViewId="0" topLeftCell="A1">
      <selection activeCell="B9" sqref="B9"/>
    </sheetView>
  </sheetViews>
  <sheetFormatPr defaultColWidth="9.140625" defaultRowHeight="10.5"/>
  <cols>
    <col min="1" max="1" width="4.421875" style="1" customWidth="1"/>
    <col min="2" max="2" width="15.8515625" style="1" customWidth="1"/>
    <col min="3" max="3" width="30.57421875" style="1" customWidth="1"/>
    <col min="4" max="5" width="8.28125" style="1" customWidth="1"/>
    <col min="6" max="6" width="15.8515625" style="1" customWidth="1"/>
    <col min="7" max="7" width="7.8515625" style="1" customWidth="1"/>
    <col min="8" max="8" width="15.8515625" style="1" customWidth="1"/>
    <col min="9" max="9" width="8.28125" style="1" customWidth="1"/>
    <col min="10" max="10" width="10.140625" style="1" customWidth="1"/>
    <col min="11" max="11" width="15.8515625" style="1" customWidth="1"/>
    <col min="12" max="12" width="8.7109375" style="1" customWidth="1"/>
    <col min="13" max="14" width="9.140625" style="1" hidden="1" customWidth="1"/>
    <col min="15" max="17" width="9.140625" style="1" customWidth="1"/>
    <col min="18" max="19" width="9.140625" style="1" hidden="1" customWidth="1"/>
    <col min="20" max="20" width="120.7109375" style="1" hidden="1" customWidth="1"/>
    <col min="21" max="24" width="9.140625" style="1" hidden="1" customWidth="1"/>
    <col min="25" max="16384" width="9.140625" style="1" customWidth="1"/>
  </cols>
  <sheetData>
    <row r="2" spans="1:9" ht="10.5" customHeight="1">
      <c r="A2" s="56"/>
      <c r="B2" s="46" t="s">
        <v>0</v>
      </c>
      <c r="C2" s="46"/>
      <c r="D2" s="56"/>
      <c r="F2" s="46" t="s">
        <v>1</v>
      </c>
      <c r="G2" s="46"/>
      <c r="H2" s="46"/>
      <c r="I2" s="46"/>
    </row>
    <row r="3" spans="1:9" ht="10.5">
      <c r="A3" s="45"/>
      <c r="B3" s="45"/>
      <c r="C3" s="45"/>
      <c r="D3" s="45"/>
      <c r="F3" s="45"/>
      <c r="G3" s="45"/>
      <c r="H3" s="45"/>
      <c r="I3" s="45"/>
    </row>
    <row r="4" spans="1:9" ht="10.5">
      <c r="A4" s="45"/>
      <c r="B4" s="45"/>
      <c r="C4" s="45"/>
      <c r="D4" s="45"/>
      <c r="F4" s="45"/>
      <c r="G4" s="45"/>
      <c r="H4" s="45"/>
      <c r="I4" s="45"/>
    </row>
    <row r="5" spans="1:9" ht="10.5">
      <c r="A5" s="43" t="s">
        <v>2</v>
      </c>
      <c r="B5" s="43"/>
      <c r="C5" s="43"/>
      <c r="D5" s="43"/>
      <c r="F5" s="43" t="s">
        <v>2</v>
      </c>
      <c r="G5" s="43"/>
      <c r="H5" s="43"/>
      <c r="I5" s="43"/>
    </row>
    <row r="6" spans="1:9" ht="10.5">
      <c r="A6" s="45"/>
      <c r="B6" s="45"/>
      <c r="C6" s="45"/>
      <c r="D6" s="45"/>
      <c r="F6" s="45"/>
      <c r="G6" s="45"/>
      <c r="H6" s="45"/>
      <c r="I6" s="45"/>
    </row>
    <row r="7" spans="1:9" ht="10.5">
      <c r="A7" s="43" t="s">
        <v>3</v>
      </c>
      <c r="B7" s="43"/>
      <c r="C7" s="43"/>
      <c r="D7" s="43"/>
      <c r="F7" s="43" t="s">
        <v>3</v>
      </c>
      <c r="G7" s="43"/>
      <c r="H7" s="43"/>
      <c r="I7" s="43"/>
    </row>
    <row r="10" spans="1:20" ht="10.5">
      <c r="A10" s="44" t="s">
        <v>376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T10" s="3" t="s">
        <v>4</v>
      </c>
    </row>
    <row r="11" spans="1:20" ht="10.5">
      <c r="A11" s="39" t="s">
        <v>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T11" s="3" t="s">
        <v>5</v>
      </c>
    </row>
    <row r="12" spans="1:20" ht="10.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T12" s="3"/>
    </row>
    <row r="13" spans="9:12" ht="10.5">
      <c r="I13" s="4" t="s">
        <v>6</v>
      </c>
      <c r="J13" s="42" t="str">
        <f>TEXT((K481)/1000,"# ##0"&amp;GetSeparator()&amp;"000")</f>
        <v> 242,844</v>
      </c>
      <c r="K13" s="42"/>
      <c r="L13" s="6" t="s">
        <v>7</v>
      </c>
    </row>
    <row r="14" spans="9:12" ht="10.5">
      <c r="I14" s="4" t="s">
        <v>8</v>
      </c>
      <c r="J14" s="42" t="str">
        <f>TEXT((K492)/1000,"# ##0"&amp;GetSeparator()&amp;"000")</f>
        <v> 0,293</v>
      </c>
      <c r="K14" s="42"/>
      <c r="L14" s="6" t="s">
        <v>9</v>
      </c>
    </row>
    <row r="15" spans="9:12" ht="10.5">
      <c r="I15" s="4" t="s">
        <v>10</v>
      </c>
      <c r="J15" s="42" t="str">
        <f>TEXT((K489)/1000,"# ##0"&amp;GetSeparator()&amp;"000")</f>
        <v> 67,529</v>
      </c>
      <c r="K15" s="42"/>
      <c r="L15" s="6" t="s">
        <v>7</v>
      </c>
    </row>
    <row r="16" spans="1:12" ht="10.5">
      <c r="A16" s="40" t="s">
        <v>11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ht="4.5" customHeight="1"/>
    <row r="18" spans="1:12" ht="33" customHeight="1">
      <c r="A18" s="8" t="s">
        <v>12</v>
      </c>
      <c r="B18" s="8" t="s">
        <v>13</v>
      </c>
      <c r="C18" s="8" t="s">
        <v>14</v>
      </c>
      <c r="D18" s="8" t="s">
        <v>15</v>
      </c>
      <c r="E18" s="8" t="s">
        <v>16</v>
      </c>
      <c r="F18" s="8" t="s">
        <v>17</v>
      </c>
      <c r="G18" s="8" t="s">
        <v>18</v>
      </c>
      <c r="H18" s="8" t="s">
        <v>19</v>
      </c>
      <c r="I18" s="8" t="s">
        <v>20</v>
      </c>
      <c r="J18" s="8" t="s">
        <v>21</v>
      </c>
      <c r="K18" s="8" t="s">
        <v>22</v>
      </c>
      <c r="L18" s="8" t="s">
        <v>23</v>
      </c>
    </row>
    <row r="19" spans="1:12" ht="10.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</row>
    <row r="21" spans="2:12" ht="10.5">
      <c r="B21" s="41" t="s">
        <v>24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2:12" ht="10.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9" ht="42">
      <c r="A23" s="3" t="s">
        <v>25</v>
      </c>
      <c r="B23" s="2" t="s">
        <v>26</v>
      </c>
      <c r="C23" s="2" t="s">
        <v>27</v>
      </c>
      <c r="D23" s="3" t="s">
        <v>28</v>
      </c>
      <c r="E23" s="1">
        <v>0.3</v>
      </c>
      <c r="F23" s="10">
        <f>'Базовые цены за единицу без нач'!B6</f>
        <v>29.41</v>
      </c>
      <c r="I23" s="11" t="s">
        <v>378</v>
      </c>
    </row>
    <row r="24" spans="3:14" ht="10.5">
      <c r="C24" s="12" t="s">
        <v>29</v>
      </c>
      <c r="F24" s="10">
        <v>29.41</v>
      </c>
      <c r="G24" s="3"/>
      <c r="H24" s="10">
        <f>'Базовые цены с учетом расхода'!C9</f>
        <v>8.82</v>
      </c>
      <c r="J24" s="13">
        <v>26.22</v>
      </c>
      <c r="K24" s="10">
        <f>'Текущие цены с учетом расхода'!C9</f>
        <v>231.34</v>
      </c>
      <c r="M24" s="1" t="s">
        <v>30</v>
      </c>
      <c r="N24" s="1" t="s">
        <v>31</v>
      </c>
    </row>
    <row r="25" spans="2:11" ht="10.5">
      <c r="B25" s="2" t="s">
        <v>32</v>
      </c>
      <c r="C25" s="2" t="s">
        <v>33</v>
      </c>
      <c r="D25" s="3" t="s">
        <v>34</v>
      </c>
      <c r="E25" s="1">
        <v>0.033</v>
      </c>
      <c r="F25" s="10"/>
      <c r="H25" s="10"/>
      <c r="K25" s="10"/>
    </row>
    <row r="26" spans="3:11" ht="10.5" hidden="1">
      <c r="C26" s="12" t="s">
        <v>29</v>
      </c>
      <c r="H26" s="1">
        <v>8.82</v>
      </c>
      <c r="K26" s="1">
        <v>231.34</v>
      </c>
    </row>
    <row r="27" ht="10.5" hidden="1">
      <c r="C27" s="12" t="s">
        <v>35</v>
      </c>
    </row>
    <row r="28" ht="10.5" hidden="1">
      <c r="C28" s="12" t="s">
        <v>36</v>
      </c>
    </row>
    <row r="29" ht="10.5" hidden="1">
      <c r="C29" s="12" t="s">
        <v>37</v>
      </c>
    </row>
    <row r="30" ht="31.5" hidden="1">
      <c r="C30" s="12" t="s">
        <v>38</v>
      </c>
    </row>
    <row r="31" spans="3:14" ht="21" hidden="1">
      <c r="C31" s="12" t="s">
        <v>39</v>
      </c>
      <c r="F31" s="14"/>
      <c r="J31" s="14"/>
      <c r="M31" s="1" t="s">
        <v>40</v>
      </c>
      <c r="N31" s="1" t="s">
        <v>41</v>
      </c>
    </row>
    <row r="32" ht="21" hidden="1">
      <c r="C32" s="12" t="s">
        <v>42</v>
      </c>
    </row>
    <row r="33" ht="21" hidden="1">
      <c r="C33" s="12" t="s">
        <v>43</v>
      </c>
    </row>
    <row r="34" ht="21" hidden="1">
      <c r="C34" s="12" t="s">
        <v>44</v>
      </c>
    </row>
    <row r="35" spans="3:14" ht="10.5">
      <c r="C35" s="12" t="s">
        <v>45</v>
      </c>
      <c r="F35" s="1">
        <v>80</v>
      </c>
      <c r="H35" s="10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7.06</v>
      </c>
      <c r="J35" s="1">
        <v>80</v>
      </c>
      <c r="K35" s="10">
        <f>IF('Текущие цены с учетом расхода'!N9&gt;0,'Текущие цены с учетом расхода'!N9,IF('Текущие цены с учетом расхода'!N9&lt;0,'Текущие цены с учетом расхода'!N9,""))</f>
        <v>185.07</v>
      </c>
      <c r="N35" s="2" t="s">
        <v>46</v>
      </c>
    </row>
    <row r="36" spans="3:14" ht="10.5" hidden="1">
      <c r="C36" s="12" t="s">
        <v>47</v>
      </c>
      <c r="F36" s="1">
        <v>80</v>
      </c>
      <c r="H36" s="10">
        <f>IF('Базовые цены с учетом расхода'!P9&gt;0,'Базовые цены с учетом расхода'!P9,IF('Базовые цены с учетом расхода'!P9&lt;0,'Базовые цены с учетом расхода'!P9,""))</f>
        <v>7.06</v>
      </c>
      <c r="J36" s="1">
        <v>80</v>
      </c>
      <c r="K36" s="10">
        <f>IF('Текущие цены с учетом расхода'!P9&gt;0,'Текущие цены с учетом расхода'!P9,IF('Текущие цены с учетом расхода'!P9&lt;0,'Текущие цены с учетом расхода'!P9,""))</f>
        <v>185.07</v>
      </c>
      <c r="N36" s="2" t="s">
        <v>48</v>
      </c>
    </row>
    <row r="37" spans="3:14" ht="10.5" hidden="1">
      <c r="C37" s="12" t="s">
        <v>49</v>
      </c>
      <c r="H37" s="10">
        <f>IF('Базовые цены с учетом расхода'!Q9&gt;0,'Базовые цены с учетом расхода'!Q9,IF('Базовые цены с учетом расхода'!Q9&lt;0,'Базовые цены с учетом расхода'!Q9,""))</f>
      </c>
      <c r="K37" s="10">
        <f>IF('Текущие цены с учетом расхода'!Q9&gt;0,'Текущие цены с учетом расхода'!Q9,IF('Текущие цены с учетом расхода'!Q9&lt;0,'Текущие цены с учетом расхода'!Q9,""))</f>
      </c>
      <c r="N37" s="2" t="s">
        <v>50</v>
      </c>
    </row>
    <row r="38" spans="3:14" ht="21">
      <c r="C38" s="12" t="s">
        <v>51</v>
      </c>
      <c r="F38" s="1">
        <v>68</v>
      </c>
      <c r="H38" s="10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6</v>
      </c>
      <c r="J38" s="1">
        <v>68</v>
      </c>
      <c r="K38" s="10">
        <f>IF('Текущие цены с учетом расхода'!O9&gt;0,'Текущие цены с учетом расхода'!O9,IF('Текущие цены с учетом расхода'!O9&lt;0,'Текущие цены с учетом расхода'!O9,""))</f>
        <v>157.31</v>
      </c>
      <c r="N38" s="2" t="s">
        <v>52</v>
      </c>
    </row>
    <row r="39" spans="3:14" ht="10.5" hidden="1">
      <c r="C39" s="12" t="s">
        <v>53</v>
      </c>
      <c r="F39" s="1">
        <v>68</v>
      </c>
      <c r="H39" s="10">
        <f>IF('Базовые цены с учетом расхода'!R9&gt;0,'Базовые цены с учетом расхода'!R9,IF('Базовые цены с учетом расхода'!R9&lt;0,'Базовые цены с учетом расхода'!R9,""))</f>
        <v>6</v>
      </c>
      <c r="J39" s="1">
        <v>68</v>
      </c>
      <c r="K39" s="10">
        <f>IF('Текущие цены с учетом расхода'!R9&gt;0,'Текущие цены с учетом расхода'!R9,IF('Текущие цены с учетом расхода'!R9&lt;0,'Текущие цены с учетом расхода'!R9,""))</f>
        <v>157.31</v>
      </c>
      <c r="N39" s="2" t="s">
        <v>54</v>
      </c>
    </row>
    <row r="40" spans="3:14" ht="10.5" hidden="1">
      <c r="C40" s="12" t="s">
        <v>55</v>
      </c>
      <c r="H40" s="10">
        <f>IF('Базовые цены с учетом расхода'!S9&gt;0,'Базовые цены с учетом расхода'!S9,IF('Базовые цены с учетом расхода'!S9&lt;0,'Базовые цены с учетом расхода'!S9,""))</f>
      </c>
      <c r="K40" s="10">
        <f>IF('Текущие цены с учетом расхода'!S9&gt;0,'Текущие цены с учетом расхода'!S9,IF('Текущие цены с учетом расхода'!S9&lt;0,'Текущие цены с учетом расхода'!S9,""))</f>
      </c>
      <c r="N40" s="2" t="s">
        <v>56</v>
      </c>
    </row>
    <row r="41" spans="3:14" ht="10.5">
      <c r="C41" s="12" t="s">
        <v>57</v>
      </c>
      <c r="D41" s="2" t="s">
        <v>58</v>
      </c>
      <c r="E41" s="1">
        <f>'Базовые цены за единицу'!I9</f>
        <v>3.77</v>
      </c>
      <c r="L41" s="1">
        <f>'Текущие цены с учетом расхода'!I9</f>
        <v>1.131</v>
      </c>
      <c r="M41" s="1" t="s">
        <v>59</v>
      </c>
      <c r="N41" s="1" t="s">
        <v>59</v>
      </c>
    </row>
    <row r="42" spans="6:12" ht="10.5">
      <c r="F42" s="15"/>
      <c r="G42" s="15"/>
      <c r="H42" s="16">
        <f>ROUND(SUMIF(M23:M41,"=sum",H23:H41)+IF(H35="",'Базовые цены с учетом расхода'!N9,H35)+IF(H38="",'Базовые цены с учетом расхода'!O9,H38),2)</f>
        <v>21.88</v>
      </c>
      <c r="I42" s="15"/>
      <c r="J42" s="15"/>
      <c r="K42" s="16">
        <f>ROUND(SUMIF(M23:M41,"=sum",K23:K41)+IF(K35="",'Текущие цены с учетом расхода'!N9,K35)+IF(K38="",'Текущие цены с учетом расхода'!O9,K38),2)</f>
        <v>573.72</v>
      </c>
      <c r="L42" s="17">
        <f>ОКРУГЛВСЕ(SUMIF(N23:N41,"=Г",L23:L41),8)</f>
        <v>1.131</v>
      </c>
    </row>
    <row r="43" spans="1:12" ht="42">
      <c r="A43" s="18" t="s">
        <v>60</v>
      </c>
      <c r="B43" s="19" t="s">
        <v>61</v>
      </c>
      <c r="C43" s="19" t="s">
        <v>62</v>
      </c>
      <c r="D43" s="18" t="s">
        <v>63</v>
      </c>
      <c r="E43" s="15">
        <v>0.5</v>
      </c>
      <c r="F43" s="20">
        <f>'Базовые цены за единицу без нач'!B7</f>
        <v>92.9</v>
      </c>
      <c r="G43" s="15"/>
      <c r="H43" s="15"/>
      <c r="I43" s="21" t="s">
        <v>379</v>
      </c>
      <c r="J43" s="15"/>
      <c r="K43" s="15"/>
      <c r="L43" s="15"/>
    </row>
    <row r="44" spans="3:14" ht="10.5">
      <c r="C44" s="12" t="s">
        <v>29</v>
      </c>
      <c r="F44" s="10">
        <v>88.84</v>
      </c>
      <c r="G44" s="3"/>
      <c r="H44" s="10">
        <f>'Базовые цены с учетом расхода'!C10</f>
        <v>44.42</v>
      </c>
      <c r="J44" s="13">
        <v>26.22</v>
      </c>
      <c r="K44" s="10">
        <f>'Текущие цены с учетом расхода'!C10</f>
        <v>1164.69</v>
      </c>
      <c r="M44" s="1" t="s">
        <v>30</v>
      </c>
      <c r="N44" s="1" t="s">
        <v>31</v>
      </c>
    </row>
    <row r="45" spans="3:13" ht="10.5">
      <c r="C45" s="12" t="s">
        <v>35</v>
      </c>
      <c r="F45" s="10">
        <v>4.06</v>
      </c>
      <c r="G45" s="3"/>
      <c r="H45" s="10">
        <f>'Базовые цены с учетом расхода'!D10</f>
        <v>2.03</v>
      </c>
      <c r="J45" s="13">
        <v>12.53</v>
      </c>
      <c r="K45" s="10">
        <f>'Текущие цены с учетом расхода'!D10</f>
        <v>25.44</v>
      </c>
      <c r="M45" s="1" t="s">
        <v>30</v>
      </c>
    </row>
    <row r="46" spans="3:14" ht="10.5">
      <c r="C46" s="12" t="s">
        <v>36</v>
      </c>
      <c r="F46" s="10">
        <v>1.76</v>
      </c>
      <c r="G46" s="3"/>
      <c r="H46" s="10">
        <f>'Базовые цены с учетом расхода'!E10</f>
        <v>0.88</v>
      </c>
      <c r="J46" s="13">
        <v>26.22</v>
      </c>
      <c r="K46" s="10">
        <f>'Текущие цены с учетом расхода'!E10</f>
        <v>23.08</v>
      </c>
      <c r="N46" s="1" t="s">
        <v>64</v>
      </c>
    </row>
    <row r="47" spans="2:11" ht="10.5">
      <c r="B47" s="2" t="s">
        <v>32</v>
      </c>
      <c r="C47" s="2" t="s">
        <v>33</v>
      </c>
      <c r="D47" s="3" t="s">
        <v>34</v>
      </c>
      <c r="E47" s="1">
        <v>0.235</v>
      </c>
      <c r="F47" s="10"/>
      <c r="H47" s="10"/>
      <c r="K47" s="10"/>
    </row>
    <row r="48" spans="3:11" ht="10.5" hidden="1">
      <c r="C48" s="12" t="s">
        <v>29</v>
      </c>
      <c r="H48" s="1">
        <v>44.42</v>
      </c>
      <c r="K48" s="1">
        <v>1164.69</v>
      </c>
    </row>
    <row r="49" spans="3:11" ht="10.5" hidden="1">
      <c r="C49" s="12" t="s">
        <v>35</v>
      </c>
      <c r="H49" s="1">
        <v>2.03</v>
      </c>
      <c r="K49" s="1">
        <v>25.44</v>
      </c>
    </row>
    <row r="50" spans="3:11" ht="10.5" hidden="1">
      <c r="C50" s="12" t="s">
        <v>36</v>
      </c>
      <c r="H50" s="1">
        <v>0.88</v>
      </c>
      <c r="K50" s="1">
        <v>23.07</v>
      </c>
    </row>
    <row r="51" ht="10.5" hidden="1">
      <c r="C51" s="12" t="s">
        <v>37</v>
      </c>
    </row>
    <row r="52" ht="31.5" hidden="1">
      <c r="C52" s="12" t="s">
        <v>38</v>
      </c>
    </row>
    <row r="53" spans="3:14" ht="21" hidden="1">
      <c r="C53" s="12" t="s">
        <v>39</v>
      </c>
      <c r="F53" s="14"/>
      <c r="J53" s="14"/>
      <c r="M53" s="1" t="s">
        <v>40</v>
      </c>
      <c r="N53" s="1" t="s">
        <v>41</v>
      </c>
    </row>
    <row r="54" ht="21" hidden="1">
      <c r="C54" s="12" t="s">
        <v>42</v>
      </c>
    </row>
    <row r="55" ht="21" hidden="1">
      <c r="C55" s="12" t="s">
        <v>43</v>
      </c>
    </row>
    <row r="56" ht="21" hidden="1">
      <c r="C56" s="12" t="s">
        <v>44</v>
      </c>
    </row>
    <row r="57" spans="3:14" ht="10.5">
      <c r="C57" s="12" t="s">
        <v>45</v>
      </c>
      <c r="F57" s="1">
        <v>80</v>
      </c>
      <c r="H57" s="10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36.24</v>
      </c>
      <c r="J57" s="1">
        <v>80</v>
      </c>
      <c r="K57" s="10">
        <f>IF('Текущие цены с учетом расхода'!N10&gt;0,'Текущие цены с учетом расхода'!N10,IF('Текущие цены с учетом расхода'!N10&lt;0,'Текущие цены с учетом расхода'!N10,""))</f>
        <v>950.22</v>
      </c>
      <c r="N57" s="2" t="s">
        <v>46</v>
      </c>
    </row>
    <row r="58" spans="3:14" ht="10.5" hidden="1">
      <c r="C58" s="12" t="s">
        <v>47</v>
      </c>
      <c r="F58" s="1">
        <v>80</v>
      </c>
      <c r="H58" s="10">
        <f>IF('Базовые цены с учетом расхода'!P10&gt;0,'Базовые цены с учетом расхода'!P10,IF('Базовые цены с учетом расхода'!P10&lt;0,'Базовые цены с учетом расхода'!P10,""))</f>
        <v>35.54</v>
      </c>
      <c r="J58" s="1">
        <v>80</v>
      </c>
      <c r="K58" s="10">
        <f>IF('Текущие цены с учетом расхода'!P10&gt;0,'Текущие цены с учетом расхода'!P10,IF('Текущие цены с учетом расхода'!P10&lt;0,'Текущие цены с учетом расхода'!P10,""))</f>
        <v>931.75</v>
      </c>
      <c r="N58" s="2" t="s">
        <v>48</v>
      </c>
    </row>
    <row r="59" spans="3:14" ht="10.5" hidden="1">
      <c r="C59" s="12" t="s">
        <v>49</v>
      </c>
      <c r="F59" s="1">
        <v>80</v>
      </c>
      <c r="H59" s="10">
        <f>IF('Базовые цены с учетом расхода'!Q10&gt;0,'Базовые цены с учетом расхода'!Q10,IF('Базовые цены с учетом расхода'!Q10&lt;0,'Базовые цены с учетом расхода'!Q10,""))</f>
        <v>0.7</v>
      </c>
      <c r="J59" s="1">
        <v>80</v>
      </c>
      <c r="K59" s="10">
        <f>IF('Текущие цены с учетом расхода'!Q10&gt;0,'Текущие цены с учетом расхода'!Q10,IF('Текущие цены с учетом расхода'!Q10&lt;0,'Текущие цены с учетом расхода'!Q10,""))</f>
        <v>18.46</v>
      </c>
      <c r="N59" s="2" t="s">
        <v>50</v>
      </c>
    </row>
    <row r="60" spans="3:14" ht="21">
      <c r="C60" s="12" t="s">
        <v>51</v>
      </c>
      <c r="F60" s="1">
        <v>68</v>
      </c>
      <c r="H60" s="10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30.8</v>
      </c>
      <c r="J60" s="1">
        <v>68</v>
      </c>
      <c r="K60" s="10">
        <f>IF('Текущие цены с учетом расхода'!O10&gt;0,'Текущие цены с учетом расхода'!O10,IF('Текущие цены с учетом расхода'!O10&lt;0,'Текущие цены с учетом расхода'!O10,""))</f>
        <v>807.68</v>
      </c>
      <c r="N60" s="2" t="s">
        <v>52</v>
      </c>
    </row>
    <row r="61" spans="3:14" ht="10.5" hidden="1">
      <c r="C61" s="12" t="s">
        <v>53</v>
      </c>
      <c r="F61" s="1">
        <v>68</v>
      </c>
      <c r="H61" s="10">
        <f>IF('Базовые цены с учетом расхода'!R10&gt;0,'Базовые цены с учетом расхода'!R10,IF('Базовые цены с учетом расхода'!R10&lt;0,'Базовые цены с учетом расхода'!R10,""))</f>
        <v>30.21</v>
      </c>
      <c r="J61" s="1">
        <v>68</v>
      </c>
      <c r="K61" s="10">
        <f>IF('Текущие цены с учетом расхода'!R10&gt;0,'Текущие цены с учетом расхода'!R10,IF('Текущие цены с учетом расхода'!R10&lt;0,'Текущие цены с учетом расхода'!R10,""))</f>
        <v>791.99</v>
      </c>
      <c r="N61" s="2" t="s">
        <v>54</v>
      </c>
    </row>
    <row r="62" spans="3:14" ht="10.5" hidden="1">
      <c r="C62" s="12" t="s">
        <v>55</v>
      </c>
      <c r="F62" s="1">
        <v>68</v>
      </c>
      <c r="H62" s="10">
        <f>IF('Базовые цены с учетом расхода'!S10&gt;0,'Базовые цены с учетом расхода'!S10,IF('Базовые цены с учетом расхода'!S10&lt;0,'Базовые цены с учетом расхода'!S10,""))</f>
        <v>0.6</v>
      </c>
      <c r="J62" s="1">
        <v>68</v>
      </c>
      <c r="K62" s="10">
        <f>IF('Текущие цены с учетом расхода'!S10&gt;0,'Текущие цены с учетом расхода'!S10,IF('Текущие цены с учетом расхода'!S10&lt;0,'Текущие цены с учетом расхода'!S10,""))</f>
        <v>15.69</v>
      </c>
      <c r="N62" s="2" t="s">
        <v>56</v>
      </c>
    </row>
    <row r="63" spans="3:14" ht="10.5">
      <c r="C63" s="12" t="s">
        <v>57</v>
      </c>
      <c r="D63" s="2" t="s">
        <v>58</v>
      </c>
      <c r="E63" s="1">
        <f>'Базовые цены за единицу'!I10</f>
        <v>11.39</v>
      </c>
      <c r="L63" s="1">
        <f>'Текущие цены с учетом расхода'!I10</f>
        <v>5.695</v>
      </c>
      <c r="M63" s="1" t="s">
        <v>59</v>
      </c>
      <c r="N63" s="1" t="s">
        <v>59</v>
      </c>
    </row>
    <row r="64" spans="6:12" ht="10.5">
      <c r="F64" s="15"/>
      <c r="G64" s="15"/>
      <c r="H64" s="16">
        <f>ROUND(SUMIF(M43:M63,"=sum",H43:H63)+IF(H57="",'Базовые цены с учетом расхода'!N10,H57)+IF(H60="",'Базовые цены с учетом расхода'!O10,H60),2)</f>
        <v>113.49</v>
      </c>
      <c r="I64" s="15"/>
      <c r="J64" s="15"/>
      <c r="K64" s="16">
        <f>ROUND(SUMIF(M43:M63,"=sum",K43:K63)+IF(K57="",'Текущие цены с учетом расхода'!N10,K57)+IF(K60="",'Текущие цены с учетом расхода'!O10,K60),2)</f>
        <v>2948.03</v>
      </c>
      <c r="L64" s="17">
        <f>ОКРУГЛВСЕ(SUMIF(N43:N63,"=Г",L43:L63),8)</f>
        <v>5.695</v>
      </c>
    </row>
    <row r="65" spans="1:12" ht="42">
      <c r="A65" s="18" t="s">
        <v>65</v>
      </c>
      <c r="B65" s="19" t="s">
        <v>66</v>
      </c>
      <c r="C65" s="19" t="s">
        <v>67</v>
      </c>
      <c r="D65" s="18" t="s">
        <v>63</v>
      </c>
      <c r="E65" s="15">
        <v>0.5</v>
      </c>
      <c r="F65" s="20">
        <f>'Базовые цены за единицу без нач'!B8</f>
        <v>116.22</v>
      </c>
      <c r="G65" s="15"/>
      <c r="H65" s="15"/>
      <c r="I65" s="21" t="s">
        <v>380</v>
      </c>
      <c r="J65" s="15"/>
      <c r="K65" s="15"/>
      <c r="L65" s="15"/>
    </row>
    <row r="66" spans="3:14" ht="10.5">
      <c r="C66" s="12" t="s">
        <v>29</v>
      </c>
      <c r="F66" s="10">
        <v>116.22</v>
      </c>
      <c r="G66" s="3"/>
      <c r="H66" s="10">
        <f>'Базовые цены с учетом расхода'!C11</f>
        <v>58.11</v>
      </c>
      <c r="J66" s="13">
        <v>26.22</v>
      </c>
      <c r="K66" s="10">
        <f>'Текущие цены с учетом расхода'!C11</f>
        <v>1523.65</v>
      </c>
      <c r="M66" s="1" t="s">
        <v>30</v>
      </c>
      <c r="N66" s="1" t="s">
        <v>31</v>
      </c>
    </row>
    <row r="67" spans="2:11" ht="10.5">
      <c r="B67" s="2" t="s">
        <v>32</v>
      </c>
      <c r="C67" s="2" t="s">
        <v>33</v>
      </c>
      <c r="D67" s="3" t="s">
        <v>34</v>
      </c>
      <c r="E67" s="1">
        <v>0.96</v>
      </c>
      <c r="F67" s="10"/>
      <c r="H67" s="10"/>
      <c r="K67" s="10"/>
    </row>
    <row r="68" spans="3:11" ht="10.5" hidden="1">
      <c r="C68" s="12" t="s">
        <v>29</v>
      </c>
      <c r="H68" s="1">
        <v>58.11</v>
      </c>
      <c r="K68" s="1">
        <v>1523.64</v>
      </c>
    </row>
    <row r="69" ht="10.5" hidden="1">
      <c r="C69" s="12" t="s">
        <v>35</v>
      </c>
    </row>
    <row r="70" ht="10.5" hidden="1">
      <c r="C70" s="12" t="s">
        <v>36</v>
      </c>
    </row>
    <row r="71" ht="10.5" hidden="1">
      <c r="C71" s="12" t="s">
        <v>37</v>
      </c>
    </row>
    <row r="72" ht="31.5" hidden="1">
      <c r="C72" s="12" t="s">
        <v>38</v>
      </c>
    </row>
    <row r="73" spans="3:14" ht="21" hidden="1">
      <c r="C73" s="12" t="s">
        <v>39</v>
      </c>
      <c r="F73" s="14"/>
      <c r="J73" s="14"/>
      <c r="M73" s="1" t="s">
        <v>40</v>
      </c>
      <c r="N73" s="1" t="s">
        <v>41</v>
      </c>
    </row>
    <row r="74" ht="21" hidden="1">
      <c r="C74" s="12" t="s">
        <v>42</v>
      </c>
    </row>
    <row r="75" ht="21" hidden="1">
      <c r="C75" s="12" t="s">
        <v>43</v>
      </c>
    </row>
    <row r="76" ht="21" hidden="1">
      <c r="C76" s="12" t="s">
        <v>44</v>
      </c>
    </row>
    <row r="77" spans="3:14" ht="10.5">
      <c r="C77" s="12" t="s">
        <v>45</v>
      </c>
      <c r="F77" s="1">
        <v>80</v>
      </c>
      <c r="H77" s="10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46.49</v>
      </c>
      <c r="J77" s="1">
        <v>80</v>
      </c>
      <c r="K77" s="10">
        <f>IF('Текущие цены с учетом расхода'!N11&gt;0,'Текущие цены с учетом расхода'!N11,IF('Текущие цены с учетом расхода'!N11&lt;0,'Текущие цены с учетом расхода'!N11,""))</f>
        <v>1218.92</v>
      </c>
      <c r="N77" s="2" t="s">
        <v>46</v>
      </c>
    </row>
    <row r="78" spans="3:14" ht="10.5" hidden="1">
      <c r="C78" s="12" t="s">
        <v>47</v>
      </c>
      <c r="F78" s="1">
        <v>80</v>
      </c>
      <c r="H78" s="10">
        <f>IF('Базовые цены с учетом расхода'!P11&gt;0,'Базовые цены с учетом расхода'!P11,IF('Базовые цены с учетом расхода'!P11&lt;0,'Базовые цены с учетом расхода'!P11,""))</f>
        <v>46.49</v>
      </c>
      <c r="J78" s="1">
        <v>80</v>
      </c>
      <c r="K78" s="10">
        <f>IF('Текущие цены с учетом расхода'!P11&gt;0,'Текущие цены с учетом расхода'!P11,IF('Текущие цены с учетом расхода'!P11&lt;0,'Текущие цены с учетом расхода'!P11,""))</f>
        <v>1218.92</v>
      </c>
      <c r="N78" s="2" t="s">
        <v>48</v>
      </c>
    </row>
    <row r="79" spans="3:14" ht="10.5" hidden="1">
      <c r="C79" s="12" t="s">
        <v>49</v>
      </c>
      <c r="H79" s="10">
        <f>IF('Базовые цены с учетом расхода'!Q11&gt;0,'Базовые цены с учетом расхода'!Q11,IF('Базовые цены с учетом расхода'!Q11&lt;0,'Базовые цены с учетом расхода'!Q11,""))</f>
      </c>
      <c r="K79" s="10">
        <f>IF('Текущие цены с учетом расхода'!Q11&gt;0,'Текущие цены с учетом расхода'!Q11,IF('Текущие цены с учетом расхода'!Q11&lt;0,'Текущие цены с учетом расхода'!Q11,""))</f>
      </c>
      <c r="N79" s="2" t="s">
        <v>50</v>
      </c>
    </row>
    <row r="80" spans="3:14" ht="21">
      <c r="C80" s="12" t="s">
        <v>51</v>
      </c>
      <c r="F80" s="1">
        <v>68</v>
      </c>
      <c r="H80" s="10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39.51</v>
      </c>
      <c r="J80" s="1">
        <v>68</v>
      </c>
      <c r="K80" s="10">
        <f>IF('Текущие цены с учетом расхода'!O11&gt;0,'Текущие цены с учетом расхода'!O11,IF('Текущие цены с учетом расхода'!O11&lt;0,'Текущие цены с учетом расхода'!O11,""))</f>
        <v>1036.08</v>
      </c>
      <c r="N80" s="2" t="s">
        <v>52</v>
      </c>
    </row>
    <row r="81" spans="3:14" ht="10.5" hidden="1">
      <c r="C81" s="12" t="s">
        <v>53</v>
      </c>
      <c r="F81" s="1">
        <v>68</v>
      </c>
      <c r="H81" s="10">
        <f>IF('Базовые цены с учетом расхода'!R11&gt;0,'Базовые цены с учетом расхода'!R11,IF('Базовые цены с учетом расхода'!R11&lt;0,'Базовые цены с учетом расхода'!R11,""))</f>
        <v>39.51</v>
      </c>
      <c r="J81" s="1">
        <v>68</v>
      </c>
      <c r="K81" s="10">
        <f>IF('Текущие цены с учетом расхода'!R11&gt;0,'Текущие цены с учетом расхода'!R11,IF('Текущие цены с учетом расхода'!R11&lt;0,'Текущие цены с учетом расхода'!R11,""))</f>
        <v>1036.08</v>
      </c>
      <c r="N81" s="2" t="s">
        <v>54</v>
      </c>
    </row>
    <row r="82" spans="3:14" ht="10.5" hidden="1">
      <c r="C82" s="12" t="s">
        <v>55</v>
      </c>
      <c r="H82" s="10">
        <f>IF('Базовые цены с учетом расхода'!S11&gt;0,'Базовые цены с учетом расхода'!S11,IF('Базовые цены с учетом расхода'!S11&lt;0,'Базовые цены с учетом расхода'!S11,""))</f>
      </c>
      <c r="K82" s="10">
        <f>IF('Текущие цены с учетом расхода'!S11&gt;0,'Текущие цены с учетом расхода'!S11,IF('Текущие цены с учетом расхода'!S11&lt;0,'Текущие цены с учетом расхода'!S11,""))</f>
      </c>
      <c r="N82" s="2" t="s">
        <v>56</v>
      </c>
    </row>
    <row r="83" spans="3:14" ht="10.5">
      <c r="C83" s="12" t="s">
        <v>57</v>
      </c>
      <c r="D83" s="2" t="s">
        <v>58</v>
      </c>
      <c r="E83" s="1">
        <f>'Базовые цены за единицу'!I11</f>
        <v>14.9</v>
      </c>
      <c r="L83" s="1">
        <f>'Текущие цены с учетом расхода'!I11</f>
        <v>7.45</v>
      </c>
      <c r="M83" s="1" t="s">
        <v>59</v>
      </c>
      <c r="N83" s="1" t="s">
        <v>59</v>
      </c>
    </row>
    <row r="84" spans="6:12" ht="10.5">
      <c r="F84" s="15"/>
      <c r="G84" s="15"/>
      <c r="H84" s="16">
        <f>ROUND(SUMIF(M65:M83,"=sum",H65:H83)+IF(H77="",'Базовые цены с учетом расхода'!N11,H77)+IF(H80="",'Базовые цены с учетом расхода'!O11,H80),2)</f>
        <v>144.11</v>
      </c>
      <c r="I84" s="15"/>
      <c r="J84" s="15"/>
      <c r="K84" s="16">
        <f>ROUND(SUMIF(M65:M83,"=sum",K65:K83)+IF(K77="",'Текущие цены с учетом расхода'!N11,K77)+IF(K80="",'Текущие цены с учетом расхода'!O11,K80),2)</f>
        <v>3778.65</v>
      </c>
      <c r="L84" s="17">
        <f>ОКРУГЛВСЕ(SUMIF(N65:N83,"=Г",L65:L83),8)</f>
        <v>7.45</v>
      </c>
    </row>
    <row r="85" spans="1:12" ht="42">
      <c r="A85" s="18" t="s">
        <v>68</v>
      </c>
      <c r="B85" s="19" t="s">
        <v>69</v>
      </c>
      <c r="C85" s="19" t="s">
        <v>70</v>
      </c>
      <c r="D85" s="18" t="s">
        <v>63</v>
      </c>
      <c r="E85" s="15">
        <v>0.5</v>
      </c>
      <c r="F85" s="20">
        <f>'Базовые цены за единицу без нач'!B9</f>
        <v>59.83</v>
      </c>
      <c r="G85" s="15"/>
      <c r="H85" s="15"/>
      <c r="I85" s="21" t="s">
        <v>381</v>
      </c>
      <c r="J85" s="15"/>
      <c r="K85" s="15"/>
      <c r="L85" s="15"/>
    </row>
    <row r="86" spans="3:14" ht="10.5">
      <c r="C86" s="12" t="s">
        <v>29</v>
      </c>
      <c r="F86" s="10">
        <v>59.83</v>
      </c>
      <c r="G86" s="3"/>
      <c r="H86" s="10">
        <f>'Базовые цены с учетом расхода'!C12</f>
        <v>29.92</v>
      </c>
      <c r="J86" s="13">
        <v>26.22</v>
      </c>
      <c r="K86" s="10">
        <f>'Текущие цены с учетом расхода'!C12</f>
        <v>784.37</v>
      </c>
      <c r="M86" s="1" t="s">
        <v>30</v>
      </c>
      <c r="N86" s="1" t="s">
        <v>31</v>
      </c>
    </row>
    <row r="87" spans="2:11" ht="10.5">
      <c r="B87" s="2" t="s">
        <v>32</v>
      </c>
      <c r="C87" s="2" t="s">
        <v>33</v>
      </c>
      <c r="D87" s="3" t="s">
        <v>34</v>
      </c>
      <c r="E87" s="1">
        <v>0.35</v>
      </c>
      <c r="F87" s="10"/>
      <c r="H87" s="10"/>
      <c r="K87" s="10"/>
    </row>
    <row r="88" spans="3:11" ht="10.5" hidden="1">
      <c r="C88" s="12" t="s">
        <v>29</v>
      </c>
      <c r="H88" s="1">
        <v>29.92</v>
      </c>
      <c r="K88" s="1">
        <v>784.37</v>
      </c>
    </row>
    <row r="89" ht="10.5" hidden="1">
      <c r="C89" s="12" t="s">
        <v>35</v>
      </c>
    </row>
    <row r="90" ht="10.5" hidden="1">
      <c r="C90" s="12" t="s">
        <v>36</v>
      </c>
    </row>
    <row r="91" ht="10.5" hidden="1">
      <c r="C91" s="12" t="s">
        <v>37</v>
      </c>
    </row>
    <row r="92" ht="31.5" hidden="1">
      <c r="C92" s="12" t="s">
        <v>38</v>
      </c>
    </row>
    <row r="93" spans="3:14" ht="21" hidden="1">
      <c r="C93" s="12" t="s">
        <v>39</v>
      </c>
      <c r="F93" s="14"/>
      <c r="J93" s="14"/>
      <c r="M93" s="1" t="s">
        <v>40</v>
      </c>
      <c r="N93" s="1" t="s">
        <v>41</v>
      </c>
    </row>
    <row r="94" ht="21" hidden="1">
      <c r="C94" s="12" t="s">
        <v>42</v>
      </c>
    </row>
    <row r="95" ht="21" hidden="1">
      <c r="C95" s="12" t="s">
        <v>43</v>
      </c>
    </row>
    <row r="96" ht="21" hidden="1">
      <c r="C96" s="12" t="s">
        <v>44</v>
      </c>
    </row>
    <row r="97" spans="3:14" ht="10.5">
      <c r="C97" s="12" t="s">
        <v>45</v>
      </c>
      <c r="F97" s="1">
        <v>80</v>
      </c>
      <c r="H97" s="10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23.94</v>
      </c>
      <c r="J97" s="1">
        <v>80</v>
      </c>
      <c r="K97" s="10">
        <f>IF('Текущие цены с учетом расхода'!N12&gt;0,'Текущие цены с учетом расхода'!N12,IF('Текущие цены с учетом расхода'!N12&lt;0,'Текущие цены с учетом расхода'!N12,""))</f>
        <v>627.5</v>
      </c>
      <c r="N97" s="2" t="s">
        <v>46</v>
      </c>
    </row>
    <row r="98" spans="3:14" ht="10.5" hidden="1">
      <c r="C98" s="12" t="s">
        <v>47</v>
      </c>
      <c r="F98" s="1">
        <v>80</v>
      </c>
      <c r="H98" s="10">
        <f>IF('Базовые цены с учетом расхода'!P12&gt;0,'Базовые цены с учетом расхода'!P12,IF('Базовые цены с учетом расхода'!P12&lt;0,'Базовые цены с учетом расхода'!P12,""))</f>
        <v>23.93</v>
      </c>
      <c r="J98" s="1">
        <v>80</v>
      </c>
      <c r="K98" s="10">
        <f>IF('Текущие цены с учетом расхода'!P12&gt;0,'Текущие цены с учетом расхода'!P12,IF('Текущие цены с учетом расхода'!P12&lt;0,'Текущие цены с учетом расхода'!P12,""))</f>
        <v>627.5</v>
      </c>
      <c r="N98" s="2" t="s">
        <v>48</v>
      </c>
    </row>
    <row r="99" spans="3:14" ht="10.5" hidden="1">
      <c r="C99" s="12" t="s">
        <v>49</v>
      </c>
      <c r="H99" s="10">
        <f>IF('Базовые цены с учетом расхода'!Q12&gt;0,'Базовые цены с учетом расхода'!Q12,IF('Базовые цены с учетом расхода'!Q12&lt;0,'Базовые цены с учетом расхода'!Q12,""))</f>
      </c>
      <c r="K99" s="10">
        <f>IF('Текущие цены с учетом расхода'!Q12&gt;0,'Текущие цены с учетом расхода'!Q12,IF('Текущие цены с учетом расхода'!Q12&lt;0,'Текущие цены с учетом расхода'!Q12,""))</f>
      </c>
      <c r="N99" s="2" t="s">
        <v>50</v>
      </c>
    </row>
    <row r="100" spans="3:14" ht="21">
      <c r="C100" s="12" t="s">
        <v>51</v>
      </c>
      <c r="F100" s="1">
        <v>68</v>
      </c>
      <c r="H100" s="10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20.35</v>
      </c>
      <c r="J100" s="1">
        <v>68</v>
      </c>
      <c r="K100" s="10">
        <f>IF('Текущие цены с учетом расхода'!O12&gt;0,'Текущие цены с учетом расхода'!O12,IF('Текущие цены с учетом расхода'!O12&lt;0,'Текущие цены с учетом расхода'!O12,""))</f>
        <v>533.37</v>
      </c>
      <c r="N100" s="2" t="s">
        <v>52</v>
      </c>
    </row>
    <row r="101" spans="3:14" ht="10.5" hidden="1">
      <c r="C101" s="12" t="s">
        <v>53</v>
      </c>
      <c r="F101" s="1">
        <v>68</v>
      </c>
      <c r="H101" s="10">
        <f>IF('Базовые цены с учетом расхода'!R12&gt;0,'Базовые цены с учетом расхода'!R12,IF('Базовые цены с учетом расхода'!R12&lt;0,'Базовые цены с учетом расхода'!R12,""))</f>
        <v>20.34</v>
      </c>
      <c r="J101" s="1">
        <v>68</v>
      </c>
      <c r="K101" s="10">
        <f>IF('Текущие цены с учетом расхода'!R12&gt;0,'Текущие цены с учетом расхода'!R12,IF('Текущие цены с учетом расхода'!R12&lt;0,'Текущие цены с учетом расхода'!R12,""))</f>
        <v>533.37</v>
      </c>
      <c r="N101" s="2" t="s">
        <v>54</v>
      </c>
    </row>
    <row r="102" spans="3:14" ht="10.5" hidden="1">
      <c r="C102" s="12" t="s">
        <v>55</v>
      </c>
      <c r="H102" s="10">
        <f>IF('Базовые цены с учетом расхода'!S12&gt;0,'Базовые цены с учетом расхода'!S12,IF('Базовые цены с учетом расхода'!S12&lt;0,'Базовые цены с учетом расхода'!S12,""))</f>
      </c>
      <c r="K102" s="10">
        <f>IF('Текущие цены с учетом расхода'!S12&gt;0,'Текущие цены с учетом расхода'!S12,IF('Текущие цены с учетом расхода'!S12&lt;0,'Текущие цены с учетом расхода'!S12,""))</f>
      </c>
      <c r="N102" s="2" t="s">
        <v>56</v>
      </c>
    </row>
    <row r="103" spans="3:14" ht="10.5">
      <c r="C103" s="12" t="s">
        <v>57</v>
      </c>
      <c r="D103" s="2" t="s">
        <v>58</v>
      </c>
      <c r="E103" s="1">
        <f>'Базовые цены за единицу'!I12</f>
        <v>7.67</v>
      </c>
      <c r="L103" s="1">
        <f>'Текущие цены с учетом расхода'!I12</f>
        <v>3.835</v>
      </c>
      <c r="M103" s="1" t="s">
        <v>59</v>
      </c>
      <c r="N103" s="1" t="s">
        <v>59</v>
      </c>
    </row>
    <row r="104" spans="6:12" ht="10.5">
      <c r="F104" s="15"/>
      <c r="G104" s="15"/>
      <c r="H104" s="16">
        <f>ROUND(SUMIF(M85:M103,"=sum",H85:H103)+IF(H97="",'Базовые цены с учетом расхода'!N12,H97)+IF(H100="",'Базовые цены с учетом расхода'!O12,H100),2)</f>
        <v>74.21</v>
      </c>
      <c r="I104" s="15"/>
      <c r="J104" s="15"/>
      <c r="K104" s="16">
        <f>ROUND(SUMIF(M85:M103,"=sum",K85:K103)+IF(K97="",'Текущие цены с учетом расхода'!N12,K97)+IF(K100="",'Текущие цены с учетом расхода'!O12,K100),2)</f>
        <v>1945.24</v>
      </c>
      <c r="L104" s="17">
        <f>ОКРУГЛВСЕ(SUMIF(N85:N103,"=Г",L85:L103),8)</f>
        <v>3.835</v>
      </c>
    </row>
    <row r="105" spans="1:12" ht="10.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2:24" ht="10.5" hidden="1">
      <c r="B106" s="22" t="s">
        <v>93</v>
      </c>
      <c r="H106" s="24">
        <f>'Базовые концовки'!F38</f>
        <v>0</v>
      </c>
      <c r="K106" s="24">
        <f>'Текущие концовки'!F38</f>
        <v>0</v>
      </c>
      <c r="R106" s="25">
        <f>'Текущие концовки'!G38</f>
        <v>0</v>
      </c>
      <c r="S106" s="25">
        <f>'Текущие концовки'!H38</f>
        <v>0</v>
      </c>
      <c r="T106" s="25">
        <f>'Текущие концовки'!I38</f>
        <v>0</v>
      </c>
      <c r="V106" s="5">
        <f>'Текущие концовки'!K38</f>
        <v>0</v>
      </c>
      <c r="W106" s="25">
        <f>'Текущие концовки'!L38</f>
        <v>0</v>
      </c>
      <c r="X106" s="25">
        <f>'Текущие концовки'!M38</f>
        <v>0</v>
      </c>
    </row>
    <row r="107" spans="2:24" ht="10.5" hidden="1">
      <c r="B107" s="22" t="s">
        <v>86</v>
      </c>
      <c r="H107" s="24">
        <f>'Базовые концовки'!F39</f>
        <v>0</v>
      </c>
      <c r="K107" s="24">
        <f>'Текущие концовки'!F39</f>
        <v>0</v>
      </c>
      <c r="R107" s="25"/>
      <c r="S107" s="25"/>
      <c r="T107" s="25"/>
      <c r="V107" s="5"/>
      <c r="W107" s="25"/>
      <c r="X107" s="25"/>
    </row>
    <row r="108" spans="2:24" ht="10.5" hidden="1">
      <c r="B108" s="22" t="s">
        <v>87</v>
      </c>
      <c r="H108" s="24">
        <f>'Базовые концовки'!F40</f>
        <v>0</v>
      </c>
      <c r="K108" s="24">
        <f>'Текущие концовки'!F40</f>
        <v>0</v>
      </c>
      <c r="R108" s="25"/>
      <c r="S108" s="25"/>
      <c r="T108" s="25"/>
      <c r="V108" s="5"/>
      <c r="W108" s="25"/>
      <c r="X108" s="25"/>
    </row>
    <row r="109" spans="2:24" ht="10.5" hidden="1">
      <c r="B109" s="22" t="s">
        <v>88</v>
      </c>
      <c r="H109" s="24">
        <f>'Базовые концовки'!F41</f>
        <v>0</v>
      </c>
      <c r="K109" s="24">
        <f>'Текущие концовки'!F41</f>
        <v>0</v>
      </c>
      <c r="R109" s="25"/>
      <c r="S109" s="25"/>
      <c r="T109" s="25"/>
      <c r="V109" s="5"/>
      <c r="W109" s="25"/>
      <c r="X109" s="25"/>
    </row>
    <row r="110" spans="2:24" ht="10.5" hidden="1">
      <c r="B110" s="22" t="s">
        <v>94</v>
      </c>
      <c r="H110" s="24">
        <f>'Базовые концовки'!F42</f>
        <v>0</v>
      </c>
      <c r="K110" s="24">
        <f>'Текущие концовки'!F42</f>
        <v>0</v>
      </c>
      <c r="R110" s="25"/>
      <c r="S110" s="25"/>
      <c r="T110" s="25"/>
      <c r="V110" s="5"/>
      <c r="W110" s="25"/>
      <c r="X110" s="25"/>
    </row>
    <row r="111" spans="2:24" ht="10.5" hidden="1">
      <c r="B111" s="22" t="s">
        <v>95</v>
      </c>
      <c r="H111" s="24">
        <f>'Базовые концовки'!F43</f>
        <v>0</v>
      </c>
      <c r="K111" s="24">
        <f>'Текущие концовки'!F43</f>
        <v>0</v>
      </c>
      <c r="R111" s="25">
        <f>'Текущие концовки'!G43</f>
        <v>0</v>
      </c>
      <c r="S111" s="25">
        <f>'Текущие концовки'!H43</f>
        <v>0</v>
      </c>
      <c r="T111" s="25">
        <f>'Текущие концовки'!I43</f>
        <v>0</v>
      </c>
      <c r="V111" s="5">
        <f>'Текущие концовки'!K43</f>
        <v>0</v>
      </c>
      <c r="W111" s="25">
        <f>'Текущие концовки'!L43</f>
        <v>0</v>
      </c>
      <c r="X111" s="25">
        <f>'Текущие концовки'!M43</f>
        <v>0</v>
      </c>
    </row>
    <row r="112" spans="2:24" ht="10.5" hidden="1">
      <c r="B112" s="22" t="s">
        <v>82</v>
      </c>
      <c r="H112" s="24"/>
      <c r="K112" s="24"/>
      <c r="R112" s="25"/>
      <c r="S112" s="25"/>
      <c r="T112" s="25"/>
      <c r="V112" s="5"/>
      <c r="W112" s="25"/>
      <c r="X112" s="25"/>
    </row>
    <row r="113" spans="2:24" ht="10.5" hidden="1">
      <c r="B113" s="22" t="s">
        <v>96</v>
      </c>
      <c r="H113" s="24">
        <f>'Базовые концовки'!F45</f>
        <v>0</v>
      </c>
      <c r="K113" s="24">
        <f>'Текущие концовки'!F45</f>
        <v>0</v>
      </c>
      <c r="R113" s="25">
        <f>'Текущие концовки'!G45</f>
        <v>0</v>
      </c>
      <c r="S113" s="25">
        <f>'Текущие концовки'!H45</f>
        <v>0</v>
      </c>
      <c r="T113" s="25">
        <f>'Текущие концовки'!I45</f>
        <v>0</v>
      </c>
      <c r="V113" s="5">
        <f>'Текущие концовки'!K45</f>
        <v>0</v>
      </c>
      <c r="W113" s="25">
        <f>'Текущие концовки'!L45</f>
        <v>0</v>
      </c>
      <c r="X113" s="25">
        <f>'Текущие концовки'!M45</f>
        <v>0</v>
      </c>
    </row>
    <row r="114" spans="2:24" ht="10.5" hidden="1">
      <c r="B114" s="22" t="s">
        <v>86</v>
      </c>
      <c r="H114" s="24">
        <f>'Базовые концовки'!F46</f>
        <v>0</v>
      </c>
      <c r="K114" s="24">
        <f>'Текущие концовки'!F46</f>
        <v>0</v>
      </c>
      <c r="R114" s="25"/>
      <c r="S114" s="25"/>
      <c r="T114" s="25"/>
      <c r="V114" s="5"/>
      <c r="W114" s="25"/>
      <c r="X114" s="25"/>
    </row>
    <row r="115" spans="2:24" ht="10.5" hidden="1">
      <c r="B115" s="22" t="s">
        <v>87</v>
      </c>
      <c r="H115" s="24">
        <f>'Базовые концовки'!F47</f>
        <v>0</v>
      </c>
      <c r="K115" s="24">
        <f>'Текущие концовки'!F47</f>
        <v>0</v>
      </c>
      <c r="R115" s="25"/>
      <c r="S115" s="25"/>
      <c r="T115" s="25"/>
      <c r="V115" s="5"/>
      <c r="W115" s="25"/>
      <c r="X115" s="25"/>
    </row>
    <row r="116" spans="2:24" ht="10.5" hidden="1">
      <c r="B116" s="22" t="s">
        <v>88</v>
      </c>
      <c r="H116" s="24">
        <f>'Базовые концовки'!F48</f>
        <v>0</v>
      </c>
      <c r="K116" s="24">
        <f>'Текущие концовки'!F48</f>
        <v>0</v>
      </c>
      <c r="R116" s="25"/>
      <c r="S116" s="25"/>
      <c r="T116" s="25"/>
      <c r="V116" s="5"/>
      <c r="W116" s="25"/>
      <c r="X116" s="25"/>
    </row>
    <row r="117" spans="2:24" ht="10.5" hidden="1">
      <c r="B117" s="22" t="s">
        <v>79</v>
      </c>
      <c r="H117" s="24">
        <f>'Базовые концовки'!F49</f>
        <v>0</v>
      </c>
      <c r="K117" s="24">
        <f>'Текущие концовки'!F49</f>
        <v>0</v>
      </c>
      <c r="R117" s="25"/>
      <c r="S117" s="25"/>
      <c r="T117" s="25"/>
      <c r="V117" s="5"/>
      <c r="W117" s="25"/>
      <c r="X117" s="25"/>
    </row>
    <row r="118" spans="2:24" ht="10.5" hidden="1">
      <c r="B118" s="22" t="s">
        <v>97</v>
      </c>
      <c r="H118" s="24">
        <f>'Базовые концовки'!F50</f>
        <v>0</v>
      </c>
      <c r="K118" s="24">
        <f>'Текущие концовки'!F50</f>
        <v>0</v>
      </c>
      <c r="R118" s="25"/>
      <c r="S118" s="25"/>
      <c r="T118" s="25"/>
      <c r="V118" s="5"/>
      <c r="W118" s="25"/>
      <c r="X118" s="25"/>
    </row>
    <row r="119" spans="2:24" ht="10.5" hidden="1">
      <c r="B119" s="22" t="s">
        <v>98</v>
      </c>
      <c r="H119" s="24">
        <f>'Базовые концовки'!F51</f>
        <v>0</v>
      </c>
      <c r="K119" s="24">
        <f>'Текущие концовки'!F51</f>
        <v>0</v>
      </c>
      <c r="R119" s="25">
        <f>'Текущие концовки'!G51</f>
        <v>0</v>
      </c>
      <c r="S119" s="25">
        <f>'Текущие концовки'!H51</f>
        <v>0</v>
      </c>
      <c r="T119" s="25">
        <f>'Текущие концовки'!I51</f>
        <v>0</v>
      </c>
      <c r="V119" s="5">
        <f>'Текущие концовки'!K51</f>
        <v>0</v>
      </c>
      <c r="W119" s="25">
        <f>'Текущие концовки'!L51</f>
        <v>0</v>
      </c>
      <c r="X119" s="25">
        <f>'Текущие концовки'!M51</f>
        <v>0</v>
      </c>
    </row>
    <row r="120" spans="2:24" ht="10.5" hidden="1">
      <c r="B120" s="22" t="s">
        <v>86</v>
      </c>
      <c r="H120" s="24">
        <f>'Базовые концовки'!F52</f>
        <v>0</v>
      </c>
      <c r="K120" s="24">
        <f>'Текущие концовки'!F52</f>
        <v>0</v>
      </c>
      <c r="R120" s="25"/>
      <c r="S120" s="25"/>
      <c r="T120" s="25"/>
      <c r="V120" s="5"/>
      <c r="W120" s="25"/>
      <c r="X120" s="25"/>
    </row>
    <row r="121" spans="2:24" ht="10.5" hidden="1">
      <c r="B121" s="22" t="s">
        <v>87</v>
      </c>
      <c r="H121" s="24">
        <f>'Базовые концовки'!F53</f>
        <v>0</v>
      </c>
      <c r="K121" s="24">
        <f>'Текущие концовки'!F53</f>
        <v>0</v>
      </c>
      <c r="R121" s="25"/>
      <c r="S121" s="25"/>
      <c r="T121" s="25"/>
      <c r="V121" s="5"/>
      <c r="W121" s="25"/>
      <c r="X121" s="25"/>
    </row>
    <row r="122" spans="2:24" ht="10.5" hidden="1">
      <c r="B122" s="22" t="s">
        <v>88</v>
      </c>
      <c r="H122" s="24">
        <f>'Базовые концовки'!F54</f>
        <v>0</v>
      </c>
      <c r="K122" s="24">
        <f>'Текущие концовки'!F54</f>
        <v>0</v>
      </c>
      <c r="R122" s="25"/>
      <c r="S122" s="25"/>
      <c r="T122" s="25"/>
      <c r="V122" s="5"/>
      <c r="W122" s="25"/>
      <c r="X122" s="25"/>
    </row>
    <row r="123" spans="2:24" ht="10.5" hidden="1">
      <c r="B123" s="22" t="s">
        <v>99</v>
      </c>
      <c r="H123" s="24">
        <f>'Базовые концовки'!F55</f>
        <v>0</v>
      </c>
      <c r="K123" s="24">
        <f>'Текущие концовки'!F55</f>
        <v>0</v>
      </c>
      <c r="R123" s="25"/>
      <c r="S123" s="25"/>
      <c r="T123" s="25"/>
      <c r="V123" s="5"/>
      <c r="W123" s="25"/>
      <c r="X123" s="25"/>
    </row>
    <row r="124" spans="2:24" ht="10.5" hidden="1">
      <c r="B124" s="22" t="s">
        <v>100</v>
      </c>
      <c r="H124" s="24">
        <f>'Базовые концовки'!F56</f>
        <v>0</v>
      </c>
      <c r="K124" s="24">
        <f>'Текущие концовки'!F56</f>
        <v>0</v>
      </c>
      <c r="R124" s="25">
        <f>'Текущие концовки'!G56</f>
        <v>0</v>
      </c>
      <c r="S124" s="25">
        <f>'Текущие концовки'!H56</f>
        <v>0</v>
      </c>
      <c r="T124" s="25">
        <f>'Текущие концовки'!I56</f>
        <v>0</v>
      </c>
      <c r="V124" s="5">
        <f>'Текущие концовки'!K56</f>
        <v>0</v>
      </c>
      <c r="W124" s="25">
        <f>'Текущие концовки'!L56</f>
        <v>0</v>
      </c>
      <c r="X124" s="25">
        <f>'Текущие концовки'!M56</f>
        <v>0</v>
      </c>
    </row>
    <row r="125" spans="2:24" ht="10.5" hidden="1">
      <c r="B125" s="22" t="s">
        <v>86</v>
      </c>
      <c r="H125" s="24">
        <f>'Базовые концовки'!F57</f>
        <v>0</v>
      </c>
      <c r="K125" s="24">
        <f>'Текущие концовки'!F57</f>
        <v>0</v>
      </c>
      <c r="R125" s="25"/>
      <c r="S125" s="25"/>
      <c r="T125" s="25"/>
      <c r="V125" s="5"/>
      <c r="W125" s="25"/>
      <c r="X125" s="25"/>
    </row>
    <row r="126" spans="2:24" ht="10.5" hidden="1">
      <c r="B126" s="22" t="s">
        <v>87</v>
      </c>
      <c r="H126" s="24">
        <f>'Базовые концовки'!F58</f>
        <v>0</v>
      </c>
      <c r="K126" s="24">
        <f>'Текущие концовки'!F58</f>
        <v>0</v>
      </c>
      <c r="R126" s="25"/>
      <c r="S126" s="25"/>
      <c r="T126" s="25"/>
      <c r="V126" s="5"/>
      <c r="W126" s="25"/>
      <c r="X126" s="25"/>
    </row>
    <row r="127" spans="2:24" ht="10.5" hidden="1">
      <c r="B127" s="22" t="s">
        <v>88</v>
      </c>
      <c r="H127" s="24">
        <f>'Базовые концовки'!F59</f>
        <v>0</v>
      </c>
      <c r="K127" s="24">
        <f>'Текущие концовки'!F59</f>
        <v>0</v>
      </c>
      <c r="R127" s="25"/>
      <c r="S127" s="25"/>
      <c r="T127" s="25"/>
      <c r="V127" s="5"/>
      <c r="W127" s="25"/>
      <c r="X127" s="25"/>
    </row>
    <row r="128" spans="2:24" ht="10.5" hidden="1">
      <c r="B128" s="22" t="s">
        <v>101</v>
      </c>
      <c r="H128" s="24">
        <f>'Базовые концовки'!F60</f>
        <v>0</v>
      </c>
      <c r="K128" s="24">
        <f>'Текущие концовки'!F60</f>
        <v>0</v>
      </c>
      <c r="R128" s="25"/>
      <c r="S128" s="25"/>
      <c r="T128" s="25"/>
      <c r="V128" s="5"/>
      <c r="W128" s="25"/>
      <c r="X128" s="25"/>
    </row>
    <row r="129" spans="2:24" ht="10.5" hidden="1">
      <c r="B129" s="22" t="s">
        <v>102</v>
      </c>
      <c r="H129" s="24">
        <f>'Базовые концовки'!F61</f>
        <v>0</v>
      </c>
      <c r="K129" s="24">
        <f>'Текущие концовки'!F61</f>
        <v>0</v>
      </c>
      <c r="R129" s="25">
        <f>'Текущие концовки'!G61</f>
        <v>0</v>
      </c>
      <c r="S129" s="25">
        <f>'Текущие концовки'!H61</f>
        <v>0</v>
      </c>
      <c r="T129" s="25">
        <f>'Текущие концовки'!I61</f>
        <v>0</v>
      </c>
      <c r="V129" s="5">
        <f>'Текущие концовки'!K61</f>
        <v>0</v>
      </c>
      <c r="W129" s="25">
        <f>'Текущие концовки'!L61</f>
        <v>0</v>
      </c>
      <c r="X129" s="25">
        <f>'Текущие концовки'!M61</f>
        <v>0</v>
      </c>
    </row>
    <row r="130" spans="2:24" ht="10.5" hidden="1">
      <c r="B130" s="22" t="s">
        <v>82</v>
      </c>
      <c r="H130" s="24"/>
      <c r="K130" s="24"/>
      <c r="R130" s="25"/>
      <c r="S130" s="25"/>
      <c r="T130" s="25"/>
      <c r="V130" s="5"/>
      <c r="W130" s="25"/>
      <c r="X130" s="25"/>
    </row>
    <row r="131" spans="2:24" ht="10.5" hidden="1">
      <c r="B131" s="22" t="s">
        <v>91</v>
      </c>
      <c r="H131" s="24">
        <f>'Базовые концовки'!F63</f>
        <v>0</v>
      </c>
      <c r="K131" s="24">
        <f>'Текущие концовки'!F63</f>
        <v>0</v>
      </c>
      <c r="R131" s="25"/>
      <c r="S131" s="25"/>
      <c r="T131" s="25"/>
      <c r="V131" s="5"/>
      <c r="W131" s="25"/>
      <c r="X131" s="25"/>
    </row>
    <row r="132" spans="2:24" ht="10.5" hidden="1">
      <c r="B132" s="22" t="s">
        <v>86</v>
      </c>
      <c r="H132" s="24">
        <f>'Базовые концовки'!F64</f>
        <v>0</v>
      </c>
      <c r="K132" s="24">
        <f>'Текущие концовки'!F64</f>
        <v>0</v>
      </c>
      <c r="R132" s="25"/>
      <c r="S132" s="25"/>
      <c r="T132" s="25"/>
      <c r="V132" s="5"/>
      <c r="W132" s="25"/>
      <c r="X132" s="25"/>
    </row>
    <row r="133" spans="2:24" ht="10.5" hidden="1">
      <c r="B133" s="22" t="s">
        <v>87</v>
      </c>
      <c r="H133" s="24">
        <f>'Базовые концовки'!F65</f>
        <v>0</v>
      </c>
      <c r="K133" s="24">
        <f>'Текущие концовки'!F65</f>
        <v>0</v>
      </c>
      <c r="R133" s="25"/>
      <c r="S133" s="25"/>
      <c r="T133" s="25"/>
      <c r="V133" s="5"/>
      <c r="W133" s="25"/>
      <c r="X133" s="25"/>
    </row>
    <row r="134" spans="2:24" ht="10.5" hidden="1">
      <c r="B134" s="22" t="s">
        <v>88</v>
      </c>
      <c r="H134" s="24">
        <f>'Базовые концовки'!F66</f>
        <v>0</v>
      </c>
      <c r="K134" s="24">
        <f>'Текущие концовки'!F66</f>
        <v>0</v>
      </c>
      <c r="R134" s="25"/>
      <c r="S134" s="25"/>
      <c r="T134" s="25"/>
      <c r="V134" s="5"/>
      <c r="W134" s="25"/>
      <c r="X134" s="25"/>
    </row>
    <row r="135" spans="2:24" ht="10.5" hidden="1">
      <c r="B135" s="22" t="s">
        <v>103</v>
      </c>
      <c r="H135" s="24">
        <f>'Базовые концовки'!F67</f>
        <v>0</v>
      </c>
      <c r="K135" s="24">
        <f>'Текущие концовки'!F67</f>
        <v>0</v>
      </c>
      <c r="R135" s="25"/>
      <c r="S135" s="25"/>
      <c r="T135" s="25"/>
      <c r="V135" s="5"/>
      <c r="W135" s="25"/>
      <c r="X135" s="25"/>
    </row>
    <row r="136" spans="2:24" ht="10.5" hidden="1">
      <c r="B136" s="22" t="s">
        <v>104</v>
      </c>
      <c r="H136" s="24">
        <f>'Базовые концовки'!F68</f>
        <v>0</v>
      </c>
      <c r="K136" s="24">
        <f>'Текущие концовки'!F68</f>
        <v>0</v>
      </c>
      <c r="R136" s="25">
        <f>'Текущие концовки'!G68</f>
        <v>0</v>
      </c>
      <c r="S136" s="25">
        <f>'Текущие концовки'!H68</f>
        <v>0</v>
      </c>
      <c r="T136" s="25">
        <f>'Текущие концовки'!I68</f>
        <v>0</v>
      </c>
      <c r="V136" s="5">
        <f>'Текущие концовки'!K68</f>
        <v>0</v>
      </c>
      <c r="W136" s="25">
        <f>'Текущие концовки'!L68</f>
        <v>0</v>
      </c>
      <c r="X136" s="25">
        <f>'Текущие концовки'!M68</f>
        <v>0</v>
      </c>
    </row>
    <row r="137" spans="2:24" ht="10.5" hidden="1">
      <c r="B137" s="22" t="s">
        <v>105</v>
      </c>
      <c r="H137" s="24">
        <f>'Базовые концовки'!F69</f>
        <v>0</v>
      </c>
      <c r="K137" s="24">
        <f>'Текущие концовки'!F69</f>
        <v>0</v>
      </c>
      <c r="R137" s="25"/>
      <c r="S137" s="25"/>
      <c r="T137" s="25"/>
      <c r="V137" s="5"/>
      <c r="W137" s="25"/>
      <c r="X137" s="25"/>
    </row>
    <row r="138" spans="2:24" ht="10.5" hidden="1">
      <c r="B138" s="22" t="s">
        <v>106</v>
      </c>
      <c r="H138" s="24">
        <f>'Базовые концовки'!F70</f>
        <v>0</v>
      </c>
      <c r="K138" s="24">
        <f>'Текущие концовки'!F70</f>
        <v>0</v>
      </c>
      <c r="R138" s="25"/>
      <c r="S138" s="25"/>
      <c r="T138" s="25"/>
      <c r="V138" s="5"/>
      <c r="W138" s="25"/>
      <c r="X138" s="25"/>
    </row>
    <row r="139" spans="2:24" ht="10.5" hidden="1">
      <c r="B139" s="22" t="s">
        <v>87</v>
      </c>
      <c r="H139" s="24">
        <f>'Базовые концовки'!F71</f>
        <v>0</v>
      </c>
      <c r="K139" s="24">
        <f>'Текущие концовки'!F71</f>
        <v>0</v>
      </c>
      <c r="R139" s="25"/>
      <c r="S139" s="25"/>
      <c r="T139" s="25"/>
      <c r="V139" s="5"/>
      <c r="W139" s="25"/>
      <c r="X139" s="25"/>
    </row>
    <row r="140" spans="2:24" ht="10.5" hidden="1">
      <c r="B140" s="22" t="s">
        <v>88</v>
      </c>
      <c r="H140" s="24">
        <f>'Базовые концовки'!F72</f>
        <v>0</v>
      </c>
      <c r="K140" s="24">
        <f>'Текущие концовки'!F72</f>
        <v>0</v>
      </c>
      <c r="R140" s="25"/>
      <c r="S140" s="25"/>
      <c r="T140" s="25"/>
      <c r="V140" s="5"/>
      <c r="W140" s="25"/>
      <c r="X140" s="25"/>
    </row>
    <row r="141" spans="2:24" ht="10.5" hidden="1">
      <c r="B141" s="22" t="s">
        <v>107</v>
      </c>
      <c r="H141" s="24">
        <f>'Базовые концовки'!F73</f>
        <v>0</v>
      </c>
      <c r="K141" s="24">
        <f>'Текущие концовки'!F73</f>
        <v>0</v>
      </c>
      <c r="R141" s="25"/>
      <c r="S141" s="25"/>
      <c r="T141" s="25"/>
      <c r="V141" s="5"/>
      <c r="W141" s="25"/>
      <c r="X141" s="25"/>
    </row>
    <row r="142" spans="2:24" ht="10.5" hidden="1">
      <c r="B142" s="22" t="s">
        <v>108</v>
      </c>
      <c r="H142" s="24">
        <f>'Базовые концовки'!F74</f>
        <v>0</v>
      </c>
      <c r="K142" s="24">
        <f>'Текущие концовки'!F74</f>
        <v>0</v>
      </c>
      <c r="R142" s="25">
        <f>'Текущие концовки'!G74</f>
        <v>0</v>
      </c>
      <c r="S142" s="25">
        <f>'Текущие концовки'!H74</f>
        <v>0</v>
      </c>
      <c r="T142" s="25">
        <f>'Текущие концовки'!I74</f>
        <v>0</v>
      </c>
      <c r="V142" s="5">
        <f>'Текущие концовки'!K74</f>
        <v>0</v>
      </c>
      <c r="W142" s="25">
        <f>'Текущие концовки'!L74</f>
        <v>0</v>
      </c>
      <c r="X142" s="25">
        <f>'Текущие концовки'!M74</f>
        <v>0</v>
      </c>
    </row>
    <row r="143" spans="2:24" ht="10.5" hidden="1">
      <c r="B143" s="22" t="s">
        <v>87</v>
      </c>
      <c r="H143" s="24">
        <f>'Базовые концовки'!F75</f>
        <v>0</v>
      </c>
      <c r="K143" s="24">
        <f>'Текущие концовки'!F75</f>
        <v>0</v>
      </c>
      <c r="R143" s="25"/>
      <c r="S143" s="25"/>
      <c r="T143" s="25"/>
      <c r="V143" s="5"/>
      <c r="W143" s="25"/>
      <c r="X143" s="25"/>
    </row>
    <row r="144" spans="2:24" ht="10.5" hidden="1">
      <c r="B144" s="22" t="s">
        <v>88</v>
      </c>
      <c r="H144" s="24">
        <f>'Базовые концовки'!F76</f>
        <v>0</v>
      </c>
      <c r="K144" s="24">
        <f>'Текущие концовки'!F76</f>
        <v>0</v>
      </c>
      <c r="R144" s="25"/>
      <c r="S144" s="25"/>
      <c r="T144" s="25"/>
      <c r="V144" s="5"/>
      <c r="W144" s="25"/>
      <c r="X144" s="25"/>
    </row>
    <row r="145" spans="2:24" ht="10.5" hidden="1">
      <c r="B145" s="22" t="s">
        <v>109</v>
      </c>
      <c r="H145" s="24">
        <f>'Базовые концовки'!F77</f>
        <v>0</v>
      </c>
      <c r="K145" s="24">
        <f>'Текущие концовки'!F77</f>
        <v>0</v>
      </c>
      <c r="R145" s="25"/>
      <c r="S145" s="25"/>
      <c r="T145" s="25"/>
      <c r="V145" s="5"/>
      <c r="W145" s="25"/>
      <c r="X145" s="25"/>
    </row>
    <row r="146" spans="2:24" ht="10.5" hidden="1">
      <c r="B146" s="22" t="s">
        <v>110</v>
      </c>
      <c r="H146" s="24">
        <f>'Базовые концовки'!F78</f>
        <v>0</v>
      </c>
      <c r="K146" s="24">
        <f>'Текущие концовки'!F78</f>
        <v>0</v>
      </c>
      <c r="R146" s="25">
        <f>'Текущие концовки'!G78</f>
        <v>0</v>
      </c>
      <c r="S146" s="25">
        <f>'Текущие концовки'!H78</f>
        <v>0</v>
      </c>
      <c r="T146" s="25">
        <f>'Текущие концовки'!I78</f>
        <v>0</v>
      </c>
      <c r="V146" s="5">
        <f>'Текущие концовки'!K78</f>
        <v>0</v>
      </c>
      <c r="W146" s="25">
        <f>'Текущие концовки'!L78</f>
        <v>0</v>
      </c>
      <c r="X146" s="25">
        <f>'Текущие концовки'!M78</f>
        <v>0</v>
      </c>
    </row>
    <row r="147" spans="2:24" ht="10.5" hidden="1">
      <c r="B147" s="22" t="s">
        <v>86</v>
      </c>
      <c r="H147" s="24">
        <f>'Базовые концовки'!F79</f>
        <v>0</v>
      </c>
      <c r="K147" s="24">
        <f>'Текущие концовки'!F79</f>
        <v>0</v>
      </c>
      <c r="R147" s="25"/>
      <c r="S147" s="25"/>
      <c r="T147" s="25"/>
      <c r="V147" s="5"/>
      <c r="W147" s="25"/>
      <c r="X147" s="25"/>
    </row>
    <row r="148" spans="2:24" ht="10.5" hidden="1">
      <c r="B148" s="22" t="s">
        <v>87</v>
      </c>
      <c r="H148" s="24">
        <f>'Базовые концовки'!F80</f>
        <v>0</v>
      </c>
      <c r="K148" s="24">
        <f>'Текущие концовки'!F80</f>
        <v>0</v>
      </c>
      <c r="R148" s="25"/>
      <c r="S148" s="25"/>
      <c r="T148" s="25"/>
      <c r="V148" s="5"/>
      <c r="W148" s="25"/>
      <c r="X148" s="25"/>
    </row>
    <row r="149" spans="2:24" ht="10.5" hidden="1">
      <c r="B149" s="22" t="s">
        <v>88</v>
      </c>
      <c r="H149" s="24">
        <f>'Базовые концовки'!F81</f>
        <v>0</v>
      </c>
      <c r="K149" s="24">
        <f>'Текущие концовки'!F81</f>
        <v>0</v>
      </c>
      <c r="R149" s="25"/>
      <c r="S149" s="25"/>
      <c r="T149" s="25"/>
      <c r="V149" s="5"/>
      <c r="W149" s="25"/>
      <c r="X149" s="25"/>
    </row>
    <row r="150" spans="2:24" ht="10.5" hidden="1">
      <c r="B150" s="22" t="s">
        <v>111</v>
      </c>
      <c r="H150" s="24">
        <f>'Базовые концовки'!F82</f>
        <v>0</v>
      </c>
      <c r="K150" s="24">
        <f>'Текущие концовки'!F82</f>
        <v>0</v>
      </c>
      <c r="R150" s="25"/>
      <c r="S150" s="25"/>
      <c r="T150" s="25"/>
      <c r="V150" s="5"/>
      <c r="W150" s="25"/>
      <c r="X150" s="25"/>
    </row>
    <row r="151" spans="2:24" ht="10.5" hidden="1">
      <c r="B151" s="22" t="s">
        <v>112</v>
      </c>
      <c r="H151" s="24">
        <f>'Базовые концовки'!F83</f>
        <v>0</v>
      </c>
      <c r="K151" s="24">
        <f>'Текущие концовки'!F83</f>
        <v>0</v>
      </c>
      <c r="R151" s="25">
        <f>'Текущие концовки'!G83</f>
        <v>0</v>
      </c>
      <c r="S151" s="25">
        <f>'Текущие концовки'!H83</f>
        <v>0</v>
      </c>
      <c r="T151" s="25">
        <f>'Текущие концовки'!I83</f>
        <v>0</v>
      </c>
      <c r="V151" s="5">
        <f>'Текущие концовки'!K83</f>
        <v>0</v>
      </c>
      <c r="W151" s="25">
        <f>'Текущие концовки'!L83</f>
        <v>0</v>
      </c>
      <c r="X151" s="25">
        <f>'Текущие концовки'!M83</f>
        <v>0</v>
      </c>
    </row>
    <row r="152" spans="2:24" ht="10.5" hidden="1">
      <c r="B152" s="22" t="s">
        <v>86</v>
      </c>
      <c r="H152" s="24">
        <f>'Базовые концовки'!F84</f>
        <v>0</v>
      </c>
      <c r="K152" s="24">
        <f>'Текущие концовки'!F84</f>
        <v>0</v>
      </c>
      <c r="R152" s="25"/>
      <c r="S152" s="25"/>
      <c r="T152" s="25"/>
      <c r="V152" s="5"/>
      <c r="W152" s="25"/>
      <c r="X152" s="25"/>
    </row>
    <row r="153" spans="2:24" ht="10.5">
      <c r="B153" s="22" t="s">
        <v>377</v>
      </c>
      <c r="E153" s="23"/>
      <c r="H153" s="24">
        <f>'Базовые концовки'!F85</f>
        <v>353.69</v>
      </c>
      <c r="K153" s="24">
        <f>'Текущие концовки'!F85</f>
        <v>9245.64</v>
      </c>
      <c r="R153" s="25">
        <f>'Текущие концовки'!G85</f>
        <v>0</v>
      </c>
      <c r="S153" s="25">
        <f>'Текущие концовки'!H85</f>
        <v>0</v>
      </c>
      <c r="T153" s="25">
        <f>'Текущие концовки'!I85</f>
        <v>0</v>
      </c>
      <c r="V153" s="5">
        <f>'Текущие концовки'!K85</f>
        <v>0</v>
      </c>
      <c r="W153" s="25">
        <f>'Текущие концовки'!L85</f>
        <v>0</v>
      </c>
      <c r="X153" s="25">
        <f>'Текущие концовки'!M85</f>
        <v>0</v>
      </c>
    </row>
    <row r="154" spans="2:24" ht="10.5" hidden="1">
      <c r="B154" s="22" t="s">
        <v>113</v>
      </c>
      <c r="H154" s="24">
        <f>'Базовые концовки'!F86</f>
        <v>0</v>
      </c>
      <c r="K154" s="24">
        <f>'Текущие концовки'!F86</f>
        <v>0</v>
      </c>
      <c r="R154" s="25"/>
      <c r="S154" s="25"/>
      <c r="T154" s="25"/>
      <c r="V154" s="5"/>
      <c r="W154" s="25"/>
      <c r="X154" s="25"/>
    </row>
    <row r="155" spans="2:24" ht="10.5">
      <c r="B155" s="22" t="s">
        <v>114</v>
      </c>
      <c r="E155" s="23"/>
      <c r="H155" s="24">
        <f>'Базовые концовки'!F87</f>
        <v>113.73</v>
      </c>
      <c r="K155" s="24">
        <f>'Текущие концовки'!F87</f>
        <v>2981.71</v>
      </c>
      <c r="R155" s="25"/>
      <c r="S155" s="25"/>
      <c r="T155" s="25"/>
      <c r="V155" s="5"/>
      <c r="W155" s="25"/>
      <c r="X155" s="25"/>
    </row>
    <row r="156" spans="2:24" ht="10.5">
      <c r="B156" s="22" t="s">
        <v>115</v>
      </c>
      <c r="E156" s="23"/>
      <c r="H156" s="24">
        <f>'Базовые концовки'!F88</f>
        <v>96.66</v>
      </c>
      <c r="K156" s="24">
        <f>'Текущие концовки'!F88</f>
        <v>2534.44</v>
      </c>
      <c r="R156" s="25"/>
      <c r="S156" s="25"/>
      <c r="T156" s="25"/>
      <c r="V156" s="5"/>
      <c r="W156" s="25"/>
      <c r="X156" s="25"/>
    </row>
    <row r="157" spans="2:24" ht="10.5" hidden="1">
      <c r="B157" s="22" t="s">
        <v>38</v>
      </c>
      <c r="H157" s="24">
        <f>'Базовые концовки'!F89</f>
        <v>0</v>
      </c>
      <c r="K157" s="24">
        <f>'Текущие концовки'!F89</f>
        <v>0</v>
      </c>
      <c r="R157" s="25"/>
      <c r="S157" s="25"/>
      <c r="T157" s="25"/>
      <c r="V157" s="5"/>
      <c r="W157" s="25">
        <f>'Текущие концовки'!L89</f>
        <v>0</v>
      </c>
      <c r="X157" s="25"/>
    </row>
    <row r="158" spans="2:24" ht="10.5" hidden="1">
      <c r="B158" s="22" t="s">
        <v>116</v>
      </c>
      <c r="H158" s="24">
        <f>'Базовые концовки'!F90</f>
        <v>0</v>
      </c>
      <c r="K158" s="24">
        <f>'Текущие концовки'!F90</f>
        <v>0</v>
      </c>
      <c r="R158" s="25"/>
      <c r="S158" s="25"/>
      <c r="T158" s="25"/>
      <c r="V158" s="5"/>
      <c r="W158" s="25">
        <f>'Текущие концовки'!L90</f>
        <v>0</v>
      </c>
      <c r="X158" s="25"/>
    </row>
    <row r="159" spans="2:24" ht="10.5" hidden="1">
      <c r="B159" s="22" t="s">
        <v>117</v>
      </c>
      <c r="E159" s="23"/>
      <c r="H159" s="24">
        <f>'Базовые концовки'!F91</f>
        <v>141.27</v>
      </c>
      <c r="K159" s="24">
        <f>'Текущие концовки'!F91</f>
        <v>3704.05</v>
      </c>
      <c r="R159" s="25"/>
      <c r="S159" s="25"/>
      <c r="T159" s="25"/>
      <c r="V159" s="5"/>
      <c r="W159" s="25"/>
      <c r="X159" s="25"/>
    </row>
    <row r="160" spans="2:24" ht="10.5" hidden="1">
      <c r="B160" s="22" t="s">
        <v>118</v>
      </c>
      <c r="E160" s="23"/>
      <c r="H160" s="24">
        <f>'Базовые концовки'!F92</f>
        <v>0.88</v>
      </c>
      <c r="K160" s="24">
        <f>'Текущие концовки'!F92</f>
        <v>23.08</v>
      </c>
      <c r="R160" s="25"/>
      <c r="S160" s="25"/>
      <c r="T160" s="25"/>
      <c r="V160" s="5"/>
      <c r="W160" s="25"/>
      <c r="X160" s="25"/>
    </row>
    <row r="161" spans="2:24" ht="10.5" hidden="1">
      <c r="B161" s="22" t="s">
        <v>119</v>
      </c>
      <c r="E161" s="23"/>
      <c r="H161" s="24">
        <f>'Базовые концовки'!F93</f>
        <v>142.15</v>
      </c>
      <c r="K161" s="24">
        <f>'Текущие концовки'!F93</f>
        <v>3727.13</v>
      </c>
      <c r="R161" s="25"/>
      <c r="S161" s="25"/>
      <c r="T161" s="25"/>
      <c r="V161" s="5"/>
      <c r="W161" s="25"/>
      <c r="X161" s="25"/>
    </row>
    <row r="162" spans="2:24" ht="10.5" hidden="1">
      <c r="B162" s="22" t="s">
        <v>120</v>
      </c>
      <c r="E162" s="23"/>
      <c r="H162" s="5">
        <f>'Базовые концовки'!J94</f>
        <v>18.111</v>
      </c>
      <c r="K162" s="5">
        <f>'Текущие концовки'!J94</f>
        <v>18.111</v>
      </c>
      <c r="R162" s="25"/>
      <c r="S162" s="25"/>
      <c r="T162" s="25"/>
      <c r="V162" s="5"/>
      <c r="W162" s="25"/>
      <c r="X162" s="25"/>
    </row>
    <row r="163" spans="2:24" ht="10.5" hidden="1">
      <c r="B163" s="22" t="s">
        <v>121</v>
      </c>
      <c r="E163" s="23"/>
      <c r="H163" s="5">
        <f>'Базовые концовки'!J95</f>
        <v>0.065</v>
      </c>
      <c r="K163" s="5">
        <f>'Текущие концовки'!J95</f>
        <v>0.065</v>
      </c>
      <c r="R163" s="25"/>
      <c r="S163" s="25"/>
      <c r="T163" s="25"/>
      <c r="V163" s="5"/>
      <c r="W163" s="25"/>
      <c r="X163" s="25"/>
    </row>
    <row r="164" spans="2:24" ht="10.5" hidden="1">
      <c r="B164" s="22" t="s">
        <v>122</v>
      </c>
      <c r="E164" s="23"/>
      <c r="H164" s="5">
        <f>'Базовые концовки'!J96</f>
        <v>18.176</v>
      </c>
      <c r="K164" s="5">
        <f>'Текущие концовки'!J96</f>
        <v>18.176</v>
      </c>
      <c r="R164" s="25"/>
      <c r="S164" s="25"/>
      <c r="T164" s="25"/>
      <c r="V164" s="5"/>
      <c r="W164" s="25"/>
      <c r="X164" s="25"/>
    </row>
    <row r="166" spans="2:12" ht="10.5">
      <c r="B166" s="41" t="s">
        <v>123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2:12" ht="10.5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9" ht="52.5">
      <c r="A168" s="3" t="s">
        <v>124</v>
      </c>
      <c r="B168" s="2" t="s">
        <v>125</v>
      </c>
      <c r="C168" s="2" t="s">
        <v>126</v>
      </c>
      <c r="D168" s="3" t="s">
        <v>127</v>
      </c>
      <c r="E168" s="1">
        <v>5</v>
      </c>
      <c r="F168" s="10">
        <f>'Базовые цены за единицу без нач'!B10</f>
        <v>229.1</v>
      </c>
      <c r="I168" s="11" t="s">
        <v>382</v>
      </c>
    </row>
    <row r="169" spans="3:14" ht="10.5">
      <c r="C169" s="12" t="s">
        <v>29</v>
      </c>
      <c r="F169" s="10">
        <v>18.77</v>
      </c>
      <c r="G169" s="3" t="s">
        <v>128</v>
      </c>
      <c r="H169" s="10">
        <f>'Базовые цены с учетом расхода'!C16</f>
        <v>107.95</v>
      </c>
      <c r="J169" s="13">
        <v>26.22</v>
      </c>
      <c r="K169" s="10">
        <f>'Текущие цены с учетом расхода'!C16</f>
        <v>2829.85</v>
      </c>
      <c r="M169" s="1" t="s">
        <v>30</v>
      </c>
      <c r="N169" s="1" t="s">
        <v>31</v>
      </c>
    </row>
    <row r="170" spans="3:13" ht="10.5">
      <c r="C170" s="12" t="s">
        <v>35</v>
      </c>
      <c r="F170" s="10">
        <v>29.93</v>
      </c>
      <c r="G170" s="3" t="s">
        <v>129</v>
      </c>
      <c r="H170" s="10">
        <f>'Базовые цены с учетом расхода'!D16</f>
        <v>187.05</v>
      </c>
      <c r="J170" s="13">
        <v>7.3</v>
      </c>
      <c r="K170" s="10">
        <f>'Текущие цены с учетом расхода'!D16</f>
        <v>1365.55</v>
      </c>
      <c r="M170" s="1" t="s">
        <v>30</v>
      </c>
    </row>
    <row r="171" spans="3:14" ht="10.5">
      <c r="C171" s="12" t="s">
        <v>36</v>
      </c>
      <c r="F171" s="10">
        <v>5.15</v>
      </c>
      <c r="G171" s="3" t="s">
        <v>129</v>
      </c>
      <c r="H171" s="10">
        <f>'Базовые цены с учетом расхода'!E16</f>
        <v>32.2</v>
      </c>
      <c r="J171" s="13">
        <v>26.22</v>
      </c>
      <c r="K171" s="10">
        <f>'Текущие цены с учетом расхода'!E16</f>
        <v>843.95</v>
      </c>
      <c r="N171" s="1" t="s">
        <v>64</v>
      </c>
    </row>
    <row r="172" spans="3:14" ht="10.5">
      <c r="C172" s="12" t="s">
        <v>130</v>
      </c>
      <c r="F172" s="10">
        <v>180.4</v>
      </c>
      <c r="G172" s="3"/>
      <c r="H172" s="10">
        <f>'Базовые цены с учетом расхода'!F16</f>
        <v>902</v>
      </c>
      <c r="J172" s="13">
        <v>1</v>
      </c>
      <c r="K172" s="10">
        <f>'Текущие цены с учетом расхода'!F16</f>
        <v>902</v>
      </c>
      <c r="M172" s="1" t="s">
        <v>30</v>
      </c>
      <c r="N172" s="1" t="s">
        <v>41</v>
      </c>
    </row>
    <row r="173" spans="2:11" ht="21">
      <c r="B173" s="2" t="s">
        <v>131</v>
      </c>
      <c r="C173" s="2" t="s">
        <v>132</v>
      </c>
      <c r="D173" s="3" t="s">
        <v>127</v>
      </c>
      <c r="E173" s="1">
        <v>5.5</v>
      </c>
      <c r="F173" s="10">
        <v>164</v>
      </c>
      <c r="H173" s="10"/>
      <c r="K173" s="10">
        <v>902</v>
      </c>
    </row>
    <row r="174" spans="3:11" ht="10.5" hidden="1">
      <c r="C174" s="12" t="s">
        <v>29</v>
      </c>
      <c r="H174" s="1">
        <v>107.93</v>
      </c>
      <c r="K174" s="1">
        <v>2829.86</v>
      </c>
    </row>
    <row r="175" spans="3:11" ht="10.5" hidden="1">
      <c r="C175" s="12" t="s">
        <v>35</v>
      </c>
      <c r="H175" s="1">
        <v>187.06</v>
      </c>
      <c r="K175" s="1">
        <v>1365.56</v>
      </c>
    </row>
    <row r="176" spans="3:11" ht="10.5" hidden="1">
      <c r="C176" s="12" t="s">
        <v>36</v>
      </c>
      <c r="H176" s="1">
        <v>32.19</v>
      </c>
      <c r="K176" s="1">
        <v>843.96</v>
      </c>
    </row>
    <row r="177" spans="3:11" ht="10.5" hidden="1">
      <c r="C177" s="12" t="s">
        <v>37</v>
      </c>
      <c r="H177" s="1">
        <v>902</v>
      </c>
      <c r="K177" s="1">
        <v>902</v>
      </c>
    </row>
    <row r="178" ht="31.5" hidden="1">
      <c r="C178" s="12" t="s">
        <v>38</v>
      </c>
    </row>
    <row r="179" spans="3:14" ht="21" hidden="1">
      <c r="C179" s="12" t="s">
        <v>39</v>
      </c>
      <c r="F179" s="14"/>
      <c r="J179" s="14"/>
      <c r="M179" s="1" t="s">
        <v>40</v>
      </c>
      <c r="N179" s="1" t="s">
        <v>41</v>
      </c>
    </row>
    <row r="180" ht="21" hidden="1">
      <c r="C180" s="12" t="s">
        <v>42</v>
      </c>
    </row>
    <row r="181" ht="21" hidden="1">
      <c r="C181" s="12" t="s">
        <v>43</v>
      </c>
    </row>
    <row r="182" ht="21" hidden="1">
      <c r="C182" s="12" t="s">
        <v>44</v>
      </c>
    </row>
    <row r="183" spans="3:14" ht="10.5">
      <c r="C183" s="12" t="s">
        <v>45</v>
      </c>
      <c r="F183" s="1">
        <v>110.7</v>
      </c>
      <c r="H183" s="10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155.15</v>
      </c>
      <c r="J183" s="1">
        <v>110.7</v>
      </c>
      <c r="K183" s="10">
        <f>IF('Текущие цены с учетом расхода'!N16&gt;0,'Текущие цены с учетом расхода'!N16,IF('Текущие цены с учетом расхода'!N16&lt;0,'Текущие цены с учетом расхода'!N16,""))</f>
        <v>4066.9</v>
      </c>
      <c r="N183" s="2" t="s">
        <v>46</v>
      </c>
    </row>
    <row r="184" spans="3:14" ht="10.5" hidden="1">
      <c r="C184" s="12" t="s">
        <v>47</v>
      </c>
      <c r="F184" s="1">
        <v>110.7</v>
      </c>
      <c r="H184" s="10">
        <f>IF('Базовые цены с учетом расхода'!P16&gt;0,'Базовые цены с учетом расхода'!P16,IF('Базовые цены с учетом расхода'!P16&lt;0,'Базовые цены с учетом расхода'!P16,""))</f>
        <v>119.5</v>
      </c>
      <c r="J184" s="1">
        <v>110.7</v>
      </c>
      <c r="K184" s="10">
        <f>IF('Текущие цены с учетом расхода'!P16&gt;0,'Текущие цены с учетом расхода'!P16,IF('Текущие цены с учетом расхода'!P16&lt;0,'Текущие цены с учетом расхода'!P16,""))</f>
        <v>3132.64</v>
      </c>
      <c r="N184" s="2" t="s">
        <v>48</v>
      </c>
    </row>
    <row r="185" spans="3:14" ht="10.5" hidden="1">
      <c r="C185" s="12" t="s">
        <v>49</v>
      </c>
      <c r="F185" s="1">
        <v>110.7</v>
      </c>
      <c r="H185" s="10">
        <f>IF('Базовые цены с учетом расхода'!Q16&gt;0,'Базовые цены с учетом расхода'!Q16,IF('Базовые цены с учетом расхода'!Q16&lt;0,'Базовые цены с учетом расхода'!Q16,""))</f>
        <v>35.65</v>
      </c>
      <c r="J185" s="1">
        <v>110.7</v>
      </c>
      <c r="K185" s="10">
        <f>IF('Текущие цены с учетом расхода'!Q16&gt;0,'Текущие цены с учетом расхода'!Q16,IF('Текущие цены с учетом расхода'!Q16&lt;0,'Текущие цены с учетом расхода'!Q16,""))</f>
        <v>934.25</v>
      </c>
      <c r="N185" s="2" t="s">
        <v>50</v>
      </c>
    </row>
    <row r="186" spans="3:14" ht="21">
      <c r="C186" s="12" t="s">
        <v>51</v>
      </c>
      <c r="F186" s="1">
        <v>63.75</v>
      </c>
      <c r="H186" s="10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89.35</v>
      </c>
      <c r="J186" s="1">
        <v>63.75</v>
      </c>
      <c r="K186" s="10">
        <f>IF('Текущие цены с учетом расхода'!O16&gt;0,'Текущие цены с учетом расхода'!O16,IF('Текущие цены с учетом расхода'!O16&lt;0,'Текущие цены с учетом расхода'!O16,""))</f>
        <v>2342.05</v>
      </c>
      <c r="N186" s="2" t="s">
        <v>52</v>
      </c>
    </row>
    <row r="187" spans="3:14" ht="10.5" hidden="1">
      <c r="C187" s="12" t="s">
        <v>53</v>
      </c>
      <c r="F187" s="1">
        <v>63.75</v>
      </c>
      <c r="H187" s="10">
        <f>IF('Базовые цены с учетом расхода'!R16&gt;0,'Базовые цены с учетом расхода'!R16,IF('Базовые цены с учетом расхода'!R16&lt;0,'Базовые цены с учетом расхода'!R16,""))</f>
        <v>68.82</v>
      </c>
      <c r="J187" s="1">
        <v>63.75</v>
      </c>
      <c r="K187" s="10">
        <f>IF('Текущие цены с учетом расхода'!R16&gt;0,'Текущие цены с учетом расхода'!R16,IF('Текущие цены с учетом расхода'!R16&lt;0,'Текущие цены с учетом расхода'!R16,""))</f>
        <v>1804.03</v>
      </c>
      <c r="N187" s="2" t="s">
        <v>54</v>
      </c>
    </row>
    <row r="188" spans="3:14" ht="10.5" hidden="1">
      <c r="C188" s="12" t="s">
        <v>55</v>
      </c>
      <c r="F188" s="1">
        <v>63.75</v>
      </c>
      <c r="H188" s="10">
        <f>IF('Базовые цены с учетом расхода'!S16&gt;0,'Базовые цены с учетом расхода'!S16,IF('Базовые цены с учетом расхода'!S16&lt;0,'Базовые цены с учетом расхода'!S16,""))</f>
        <v>20.53</v>
      </c>
      <c r="J188" s="1">
        <v>63.75</v>
      </c>
      <c r="K188" s="10">
        <f>IF('Текущие цены с учетом расхода'!S16&gt;0,'Текущие цены с учетом расхода'!S16,IF('Текущие цены с учетом расхода'!S16&lt;0,'Текущие цены с учетом расхода'!S16,""))</f>
        <v>538.02</v>
      </c>
      <c r="N188" s="2" t="s">
        <v>56</v>
      </c>
    </row>
    <row r="189" spans="3:14" ht="10.5">
      <c r="C189" s="12" t="s">
        <v>57</v>
      </c>
      <c r="D189" s="2" t="s">
        <v>58</v>
      </c>
      <c r="E189" s="1">
        <f>'Базовые цены за единицу'!I16</f>
        <v>2.53</v>
      </c>
      <c r="L189" s="1">
        <f>'Текущие цены с учетом расхода'!I16</f>
        <v>12.65</v>
      </c>
      <c r="M189" s="1" t="s">
        <v>59</v>
      </c>
      <c r="N189" s="1" t="s">
        <v>59</v>
      </c>
    </row>
    <row r="190" spans="6:12" ht="10.5">
      <c r="F190" s="15"/>
      <c r="G190" s="15"/>
      <c r="H190" s="16">
        <f>ROUND(SUMIF(M168:M189,"=sum",H168:H189)+IF(H183="",'Базовые цены с учетом расхода'!N16,H183)+IF(H186="",'Базовые цены с учетом расхода'!O16,H186),2)</f>
        <v>1441.5</v>
      </c>
      <c r="I190" s="15"/>
      <c r="J190" s="15"/>
      <c r="K190" s="16">
        <f>ROUND(SUMIF(M168:M189,"=sum",K168:K189)+IF(K183="",'Текущие цены с учетом расхода'!N16,K183)+IF(K186="",'Текущие цены с учетом расхода'!O16,K186),2)</f>
        <v>11506.35</v>
      </c>
      <c r="L190" s="17">
        <f>ОКРУГЛВСЕ(SUMIF(N168:N189,"=Г",L168:L189),8)</f>
        <v>12.65</v>
      </c>
    </row>
    <row r="191" spans="1:12" ht="52.5">
      <c r="A191" s="18" t="s">
        <v>133</v>
      </c>
      <c r="B191" s="19" t="s">
        <v>134</v>
      </c>
      <c r="C191" s="19" t="s">
        <v>135</v>
      </c>
      <c r="D191" s="18" t="s">
        <v>127</v>
      </c>
      <c r="E191" s="15">
        <v>2.5</v>
      </c>
      <c r="F191" s="20">
        <f>'Базовые цены за единицу без нач'!B11</f>
        <v>123.38</v>
      </c>
      <c r="G191" s="15"/>
      <c r="H191" s="15"/>
      <c r="I191" s="21" t="s">
        <v>383</v>
      </c>
      <c r="J191" s="15"/>
      <c r="K191" s="15"/>
      <c r="L191" s="15"/>
    </row>
    <row r="192" spans="3:14" ht="10.5">
      <c r="C192" s="12" t="s">
        <v>29</v>
      </c>
      <c r="F192" s="10">
        <v>29.46</v>
      </c>
      <c r="G192" s="3" t="s">
        <v>128</v>
      </c>
      <c r="H192" s="10">
        <f>'Базовые цены с учетом расхода'!C17</f>
        <v>84.7</v>
      </c>
      <c r="J192" s="13">
        <v>26.22</v>
      </c>
      <c r="K192" s="10">
        <f>'Текущие цены с учетом расхода'!C17</f>
        <v>2220.78</v>
      </c>
      <c r="M192" s="1" t="s">
        <v>30</v>
      </c>
      <c r="N192" s="1" t="s">
        <v>31</v>
      </c>
    </row>
    <row r="193" spans="3:13" ht="10.5">
      <c r="C193" s="12" t="s">
        <v>35</v>
      </c>
      <c r="F193" s="10">
        <v>27.24</v>
      </c>
      <c r="G193" s="3" t="s">
        <v>129</v>
      </c>
      <c r="H193" s="10">
        <f>'Базовые цены с учетом расхода'!D17</f>
        <v>85.13</v>
      </c>
      <c r="J193" s="13">
        <v>6.91</v>
      </c>
      <c r="K193" s="10">
        <f>'Текущие цены с учетом расхода'!D17</f>
        <v>588.23</v>
      </c>
      <c r="M193" s="1" t="s">
        <v>30</v>
      </c>
    </row>
    <row r="194" spans="3:14" ht="10.5">
      <c r="C194" s="12" t="s">
        <v>36</v>
      </c>
      <c r="F194" s="10">
        <v>3.01</v>
      </c>
      <c r="G194" s="3" t="s">
        <v>129</v>
      </c>
      <c r="H194" s="10">
        <f>'Базовые цены с учетом расхода'!E17</f>
        <v>9.4</v>
      </c>
      <c r="J194" s="13">
        <v>26.22</v>
      </c>
      <c r="K194" s="10">
        <f>'Текущие цены с учетом расхода'!E17</f>
        <v>246.63</v>
      </c>
      <c r="N194" s="1" t="s">
        <v>64</v>
      </c>
    </row>
    <row r="195" spans="3:14" ht="10.5">
      <c r="C195" s="12" t="s">
        <v>130</v>
      </c>
      <c r="F195" s="10">
        <v>66.68</v>
      </c>
      <c r="G195" s="3"/>
      <c r="H195" s="10">
        <f>'Базовые цены с учетом расхода'!F17</f>
        <v>166.7</v>
      </c>
      <c r="J195" s="13">
        <v>8.39</v>
      </c>
      <c r="K195" s="10">
        <f>'Текущие цены с учетом расхода'!F17</f>
        <v>1398.65</v>
      </c>
      <c r="M195" s="1" t="s">
        <v>30</v>
      </c>
      <c r="N195" s="1" t="s">
        <v>41</v>
      </c>
    </row>
    <row r="196" spans="2:11" ht="21">
      <c r="B196" s="2" t="s">
        <v>136</v>
      </c>
      <c r="C196" s="2" t="s">
        <v>137</v>
      </c>
      <c r="D196" s="3" t="s">
        <v>127</v>
      </c>
      <c r="E196" s="1">
        <v>3</v>
      </c>
      <c r="F196" s="10">
        <v>55.26</v>
      </c>
      <c r="H196" s="10"/>
      <c r="K196" s="10">
        <v>1390.89</v>
      </c>
    </row>
    <row r="197" spans="3:11" ht="10.5" hidden="1">
      <c r="C197" s="12" t="s">
        <v>29</v>
      </c>
      <c r="H197" s="1">
        <v>84.7</v>
      </c>
      <c r="K197" s="1">
        <v>2220.77</v>
      </c>
    </row>
    <row r="198" spans="3:11" ht="10.5" hidden="1">
      <c r="C198" s="12" t="s">
        <v>35</v>
      </c>
      <c r="H198" s="1">
        <v>85.13</v>
      </c>
      <c r="K198" s="1">
        <v>588.21</v>
      </c>
    </row>
    <row r="199" spans="3:11" ht="10.5" hidden="1">
      <c r="C199" s="12" t="s">
        <v>36</v>
      </c>
      <c r="H199" s="1">
        <v>9.41</v>
      </c>
      <c r="K199" s="1">
        <v>246.63</v>
      </c>
    </row>
    <row r="200" spans="3:11" ht="10.5" hidden="1">
      <c r="C200" s="12" t="s">
        <v>37</v>
      </c>
      <c r="H200" s="1">
        <v>166.71</v>
      </c>
      <c r="K200" s="1">
        <v>1398.65</v>
      </c>
    </row>
    <row r="201" ht="31.5" hidden="1">
      <c r="C201" s="12" t="s">
        <v>38</v>
      </c>
    </row>
    <row r="202" spans="3:14" ht="21" hidden="1">
      <c r="C202" s="12" t="s">
        <v>39</v>
      </c>
      <c r="F202" s="14"/>
      <c r="J202" s="14"/>
      <c r="M202" s="1" t="s">
        <v>40</v>
      </c>
      <c r="N202" s="1" t="s">
        <v>41</v>
      </c>
    </row>
    <row r="203" ht="21" hidden="1">
      <c r="C203" s="12" t="s">
        <v>42</v>
      </c>
    </row>
    <row r="204" ht="21" hidden="1">
      <c r="C204" s="12" t="s">
        <v>43</v>
      </c>
    </row>
    <row r="205" ht="21" hidden="1">
      <c r="C205" s="12" t="s">
        <v>44</v>
      </c>
    </row>
    <row r="206" spans="3:14" ht="10.5">
      <c r="C206" s="12" t="s">
        <v>45</v>
      </c>
      <c r="F206" s="1">
        <v>110.7</v>
      </c>
      <c r="H206" s="10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104.17</v>
      </c>
      <c r="J206" s="1">
        <v>110.7</v>
      </c>
      <c r="K206" s="10">
        <f>IF('Текущие цены с учетом расхода'!N17&gt;0,'Текущие цены с учетом расхода'!N17,IF('Текущие цены с учетом расхода'!N17&lt;0,'Текущие цены с учетом расхода'!N17,""))</f>
        <v>2731.42</v>
      </c>
      <c r="N206" s="2" t="s">
        <v>46</v>
      </c>
    </row>
    <row r="207" spans="3:14" ht="10.5" hidden="1">
      <c r="C207" s="12" t="s">
        <v>47</v>
      </c>
      <c r="F207" s="1">
        <v>110.7</v>
      </c>
      <c r="H207" s="10">
        <f>IF('Базовые цены с учетом расхода'!P17&gt;0,'Базовые цены с учетом расхода'!P17,IF('Базовые цены с учетом расхода'!P17&lt;0,'Базовые цены с учетом расхода'!P17,""))</f>
        <v>93.76</v>
      </c>
      <c r="J207" s="1">
        <v>110.7</v>
      </c>
      <c r="K207" s="10">
        <f>IF('Текущие цены с учетом расхода'!P17&gt;0,'Текущие цены с учетом расхода'!P17,IF('Текущие цены с учетом расхода'!P17&lt;0,'Текущие цены с учетом расхода'!P17,""))</f>
        <v>2458.4</v>
      </c>
      <c r="N207" s="2" t="s">
        <v>48</v>
      </c>
    </row>
    <row r="208" spans="3:14" ht="10.5" hidden="1">
      <c r="C208" s="12" t="s">
        <v>49</v>
      </c>
      <c r="F208" s="1">
        <v>110.7</v>
      </c>
      <c r="H208" s="10">
        <f>IF('Базовые цены с учетом расхода'!Q17&gt;0,'Базовые цены с учетом расхода'!Q17,IF('Базовые цены с учетом расхода'!Q17&lt;0,'Базовые цены с учетом расхода'!Q17,""))</f>
        <v>10.41</v>
      </c>
      <c r="J208" s="1">
        <v>110.7</v>
      </c>
      <c r="K208" s="10">
        <f>IF('Текущие цены с учетом расхода'!Q17&gt;0,'Текущие цены с учетом расхода'!Q17,IF('Текущие цены с учетом расхода'!Q17&lt;0,'Текущие цены с учетом расхода'!Q17,""))</f>
        <v>273.01</v>
      </c>
      <c r="N208" s="2" t="s">
        <v>50</v>
      </c>
    </row>
    <row r="209" spans="3:14" ht="21">
      <c r="C209" s="12" t="s">
        <v>51</v>
      </c>
      <c r="F209" s="1">
        <v>63.75</v>
      </c>
      <c r="H209" s="10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59.99</v>
      </c>
      <c r="J209" s="1">
        <v>63.75</v>
      </c>
      <c r="K209" s="10">
        <f>IF('Текущие цены с учетом расхода'!O17&gt;0,'Текущие цены с учетом расхода'!O17,IF('Текущие цены с учетом расхода'!O17&lt;0,'Текущие цены с учетом расхода'!O17,""))</f>
        <v>1572.97</v>
      </c>
      <c r="N209" s="2" t="s">
        <v>52</v>
      </c>
    </row>
    <row r="210" spans="3:14" ht="10.5" hidden="1">
      <c r="C210" s="12" t="s">
        <v>53</v>
      </c>
      <c r="F210" s="1">
        <v>63.75</v>
      </c>
      <c r="H210" s="10">
        <f>IF('Базовые цены с учетом расхода'!R17&gt;0,'Базовые цены с учетом расхода'!R17,IF('Базовые цены с учетом расхода'!R17&lt;0,'Базовые цены с учетом расхода'!R17,""))</f>
        <v>54</v>
      </c>
      <c r="J210" s="1">
        <v>63.75</v>
      </c>
      <c r="K210" s="10">
        <f>IF('Текущие цены с учетом расхода'!R17&gt;0,'Текущие цены с учетом расхода'!R17,IF('Текущие цены с учетом расхода'!R17&lt;0,'Текущие цены с учетом расхода'!R17,""))</f>
        <v>1415.74</v>
      </c>
      <c r="N210" s="2" t="s">
        <v>54</v>
      </c>
    </row>
    <row r="211" spans="3:14" ht="10.5" hidden="1">
      <c r="C211" s="12" t="s">
        <v>55</v>
      </c>
      <c r="F211" s="1">
        <v>63.75</v>
      </c>
      <c r="H211" s="10">
        <f>IF('Базовые цены с учетом расхода'!S17&gt;0,'Базовые цены с учетом расхода'!S17,IF('Базовые цены с учетом расхода'!S17&lt;0,'Базовые цены с учетом расхода'!S17,""))</f>
        <v>5.99</v>
      </c>
      <c r="J211" s="1">
        <v>63.75</v>
      </c>
      <c r="K211" s="10">
        <f>IF('Текущие цены с учетом расхода'!S17&gt;0,'Текущие цены с учетом расхода'!S17,IF('Текущие цены с учетом расхода'!S17&lt;0,'Текущие цены с учетом расхода'!S17,""))</f>
        <v>157.22</v>
      </c>
      <c r="N211" s="2" t="s">
        <v>56</v>
      </c>
    </row>
    <row r="212" spans="3:14" ht="10.5">
      <c r="C212" s="12" t="s">
        <v>57</v>
      </c>
      <c r="D212" s="2" t="s">
        <v>58</v>
      </c>
      <c r="E212" s="1">
        <f>'Базовые цены за единицу'!I17</f>
        <v>3.9215</v>
      </c>
      <c r="L212" s="1">
        <f>'Текущие цены с учетом расхода'!I17</f>
        <v>9.80375</v>
      </c>
      <c r="M212" s="1" t="s">
        <v>59</v>
      </c>
      <c r="N212" s="1" t="s">
        <v>59</v>
      </c>
    </row>
    <row r="213" spans="6:12" ht="10.5">
      <c r="F213" s="15"/>
      <c r="G213" s="15"/>
      <c r="H213" s="16">
        <f>ROUND(SUMIF(M191:M212,"=sum",H191:H212)+IF(H206="",'Базовые цены с учетом расхода'!N17,H206)+IF(H209="",'Базовые цены с учетом расхода'!O17,H209),2)</f>
        <v>500.69</v>
      </c>
      <c r="I213" s="15"/>
      <c r="J213" s="15"/>
      <c r="K213" s="16">
        <f>ROUND(SUMIF(M191:M212,"=sum",K191:K212)+IF(K206="",'Текущие цены с учетом расхода'!N17,K206)+IF(K209="",'Текущие цены с учетом расхода'!O17,K209),2)</f>
        <v>8512.05</v>
      </c>
      <c r="L213" s="17">
        <f>ОКРУГЛВСЕ(SUMIF(N191:N212,"=Г",L191:L212),8)</f>
        <v>9.80375</v>
      </c>
    </row>
    <row r="214" spans="1:12" ht="52.5">
      <c r="A214" s="18" t="s">
        <v>138</v>
      </c>
      <c r="B214" s="19" t="s">
        <v>139</v>
      </c>
      <c r="C214" s="19" t="s">
        <v>140</v>
      </c>
      <c r="D214" s="18" t="s">
        <v>63</v>
      </c>
      <c r="E214" s="15">
        <v>0.55</v>
      </c>
      <c r="F214" s="20">
        <f>'Базовые цены за единицу без нач'!B12</f>
        <v>1144.88</v>
      </c>
      <c r="G214" s="15"/>
      <c r="H214" s="15"/>
      <c r="I214" s="21" t="s">
        <v>384</v>
      </c>
      <c r="J214" s="15"/>
      <c r="K214" s="15"/>
      <c r="L214" s="15"/>
    </row>
    <row r="215" spans="3:14" ht="10.5">
      <c r="C215" s="12" t="s">
        <v>29</v>
      </c>
      <c r="F215" s="10">
        <v>295.05</v>
      </c>
      <c r="G215" s="3" t="s">
        <v>128</v>
      </c>
      <c r="H215" s="10">
        <f>'Базовые цены с учетом расхода'!C18</f>
        <v>186.62</v>
      </c>
      <c r="J215" s="13">
        <v>26.22</v>
      </c>
      <c r="K215" s="10">
        <f>'Текущие цены с учетом расхода'!C18</f>
        <v>4893.15</v>
      </c>
      <c r="M215" s="1" t="s">
        <v>30</v>
      </c>
      <c r="N215" s="1" t="s">
        <v>31</v>
      </c>
    </row>
    <row r="216" spans="3:13" ht="10.5">
      <c r="C216" s="12" t="s">
        <v>35</v>
      </c>
      <c r="F216" s="10">
        <v>157.21</v>
      </c>
      <c r="G216" s="3" t="s">
        <v>129</v>
      </c>
      <c r="H216" s="10">
        <f>'Базовые цены с учетом расхода'!D18</f>
        <v>108.08</v>
      </c>
      <c r="J216" s="13">
        <v>4.63</v>
      </c>
      <c r="K216" s="10">
        <f>'Текущие цены с учетом расхода'!D18</f>
        <v>500.42</v>
      </c>
      <c r="M216" s="1" t="s">
        <v>30</v>
      </c>
    </row>
    <row r="217" spans="3:14" ht="10.5">
      <c r="C217" s="12" t="s">
        <v>36</v>
      </c>
      <c r="F217" s="10">
        <v>5.33</v>
      </c>
      <c r="G217" s="3" t="s">
        <v>129</v>
      </c>
      <c r="H217" s="10">
        <f>'Базовые цены с учетом расхода'!E18</f>
        <v>3.66</v>
      </c>
      <c r="J217" s="13">
        <v>26.22</v>
      </c>
      <c r="K217" s="10">
        <f>'Текущие цены с учетом расхода'!E18</f>
        <v>96.08</v>
      </c>
      <c r="N217" s="1" t="s">
        <v>64</v>
      </c>
    </row>
    <row r="218" spans="3:14" ht="10.5">
      <c r="C218" s="12" t="s">
        <v>130</v>
      </c>
      <c r="F218" s="10">
        <v>692.62</v>
      </c>
      <c r="G218" s="3"/>
      <c r="H218" s="10">
        <f>'Базовые цены с учетом расхода'!F18</f>
        <v>380.94</v>
      </c>
      <c r="J218" s="13">
        <v>11.92</v>
      </c>
      <c r="K218" s="10">
        <f>'Текущие цены с учетом расхода'!F18</f>
        <v>4540.82</v>
      </c>
      <c r="M218" s="1" t="s">
        <v>30</v>
      </c>
      <c r="N218" s="1" t="s">
        <v>41</v>
      </c>
    </row>
    <row r="219" spans="3:11" ht="10.5" hidden="1">
      <c r="C219" s="12" t="s">
        <v>29</v>
      </c>
      <c r="H219" s="1">
        <v>186.62</v>
      </c>
      <c r="K219" s="1">
        <v>4893.15</v>
      </c>
    </row>
    <row r="220" spans="3:11" ht="10.5" hidden="1">
      <c r="C220" s="12" t="s">
        <v>35</v>
      </c>
      <c r="H220" s="1">
        <v>108.08</v>
      </c>
      <c r="K220" s="1">
        <v>500.42</v>
      </c>
    </row>
    <row r="221" spans="3:11" ht="10.5" hidden="1">
      <c r="C221" s="12" t="s">
        <v>36</v>
      </c>
      <c r="H221" s="1">
        <v>3.66</v>
      </c>
      <c r="K221" s="1">
        <v>96.08</v>
      </c>
    </row>
    <row r="222" spans="3:11" ht="10.5" hidden="1">
      <c r="C222" s="12" t="s">
        <v>37</v>
      </c>
      <c r="H222" s="1">
        <v>380.94</v>
      </c>
      <c r="K222" s="1">
        <v>4540.82</v>
      </c>
    </row>
    <row r="223" ht="31.5" hidden="1">
      <c r="C223" s="12" t="s">
        <v>38</v>
      </c>
    </row>
    <row r="224" spans="3:14" ht="21" hidden="1">
      <c r="C224" s="12" t="s">
        <v>39</v>
      </c>
      <c r="F224" s="14"/>
      <c r="J224" s="14"/>
      <c r="M224" s="1" t="s">
        <v>40</v>
      </c>
      <c r="N224" s="1" t="s">
        <v>41</v>
      </c>
    </row>
    <row r="225" ht="21" hidden="1">
      <c r="C225" s="12" t="s">
        <v>42</v>
      </c>
    </row>
    <row r="226" ht="21" hidden="1">
      <c r="C226" s="12" t="s">
        <v>43</v>
      </c>
    </row>
    <row r="227" ht="21" hidden="1">
      <c r="C227" s="12" t="s">
        <v>44</v>
      </c>
    </row>
    <row r="228" spans="3:14" ht="10.5">
      <c r="C228" s="12" t="s">
        <v>45</v>
      </c>
      <c r="F228" s="1">
        <v>110.7</v>
      </c>
      <c r="H228" s="10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  <v>210.64</v>
      </c>
      <c r="J228" s="1">
        <v>110.7</v>
      </c>
      <c r="K228" s="10">
        <f>IF('Текущие цены с учетом расхода'!N18&gt;0,'Текущие цены с учетом расхода'!N18,IF('Текущие цены с учетом расхода'!N18&lt;0,'Текущие цены с учетом расхода'!N18,""))</f>
        <v>5523.08</v>
      </c>
      <c r="N228" s="2" t="s">
        <v>46</v>
      </c>
    </row>
    <row r="229" spans="3:14" ht="10.5" hidden="1">
      <c r="C229" s="12" t="s">
        <v>47</v>
      </c>
      <c r="F229" s="1">
        <v>110.7</v>
      </c>
      <c r="H229" s="10">
        <f>IF('Базовые цены с учетом расхода'!P18&gt;0,'Базовые цены с учетом расхода'!P18,IF('Базовые цены с учетом расхода'!P18&lt;0,'Базовые цены с учетом расхода'!P18,""))</f>
        <v>206.59</v>
      </c>
      <c r="J229" s="1">
        <v>110.7</v>
      </c>
      <c r="K229" s="10">
        <f>IF('Текущие цены с учетом расхода'!P18&gt;0,'Текущие цены с учетом расхода'!P18,IF('Текущие цены с учетом расхода'!P18&lt;0,'Текущие цены с учетом расхода'!P18,""))</f>
        <v>5416.72</v>
      </c>
      <c r="N229" s="2" t="s">
        <v>48</v>
      </c>
    </row>
    <row r="230" spans="3:14" ht="10.5" hidden="1">
      <c r="C230" s="12" t="s">
        <v>49</v>
      </c>
      <c r="F230" s="1">
        <v>110.7</v>
      </c>
      <c r="H230" s="10">
        <f>IF('Базовые цены с учетом расхода'!Q18&gt;0,'Базовые цены с учетом расхода'!Q18,IF('Базовые цены с учетом расхода'!Q18&lt;0,'Базовые цены с учетом расхода'!Q18,""))</f>
        <v>4.05</v>
      </c>
      <c r="J230" s="1">
        <v>110.7</v>
      </c>
      <c r="K230" s="10">
        <f>IF('Текущие цены с учетом расхода'!Q18&gt;0,'Текущие цены с учетом расхода'!Q18,IF('Текущие цены с учетом расхода'!Q18&lt;0,'Текущие цены с учетом расхода'!Q18,""))</f>
        <v>106.36</v>
      </c>
      <c r="N230" s="2" t="s">
        <v>50</v>
      </c>
    </row>
    <row r="231" spans="3:14" ht="21">
      <c r="C231" s="12" t="s">
        <v>51</v>
      </c>
      <c r="F231" s="1">
        <v>63.75</v>
      </c>
      <c r="H231" s="10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  <v>121.3</v>
      </c>
      <c r="J231" s="1">
        <v>63.75</v>
      </c>
      <c r="K231" s="10">
        <f>IF('Текущие цены с учетом расхода'!O18&gt;0,'Текущие цены с учетом расхода'!O18,IF('Текущие цены с учетом расхода'!O18&lt;0,'Текущие цены с учетом расхода'!O18,""))</f>
        <v>3180.63</v>
      </c>
      <c r="N231" s="2" t="s">
        <v>52</v>
      </c>
    </row>
    <row r="232" spans="3:14" ht="10.5" hidden="1">
      <c r="C232" s="12" t="s">
        <v>53</v>
      </c>
      <c r="F232" s="1">
        <v>63.75</v>
      </c>
      <c r="H232" s="10">
        <f>IF('Базовые цены с учетом расхода'!R18&gt;0,'Базовые цены с учетом расхода'!R18,IF('Базовые цены с учетом расхода'!R18&lt;0,'Базовые цены с учетом расхода'!R18,""))</f>
        <v>118.97</v>
      </c>
      <c r="J232" s="1">
        <v>63.75</v>
      </c>
      <c r="K232" s="10">
        <f>IF('Текущие цены с учетом расхода'!R18&gt;0,'Текущие цены с учетом расхода'!R18,IF('Текущие цены с учетом расхода'!R18&lt;0,'Текущие цены с учетом расхода'!R18,""))</f>
        <v>3119.38</v>
      </c>
      <c r="N232" s="2" t="s">
        <v>54</v>
      </c>
    </row>
    <row r="233" spans="3:14" ht="10.5" hidden="1">
      <c r="C233" s="12" t="s">
        <v>55</v>
      </c>
      <c r="F233" s="1">
        <v>63.75</v>
      </c>
      <c r="H233" s="10">
        <f>IF('Базовые цены с учетом расхода'!S18&gt;0,'Базовые цены с учетом расхода'!S18,IF('Базовые цены с учетом расхода'!S18&lt;0,'Базовые цены с учетом расхода'!S18,""))</f>
        <v>2.34</v>
      </c>
      <c r="J233" s="1">
        <v>63.75</v>
      </c>
      <c r="K233" s="10">
        <f>IF('Текущие цены с учетом расхода'!S18&gt;0,'Текущие цены с учетом расхода'!S18,IF('Текущие цены с учетом расхода'!S18&lt;0,'Текущие цены с учетом расхода'!S18,""))</f>
        <v>61.25</v>
      </c>
      <c r="N233" s="2" t="s">
        <v>56</v>
      </c>
    </row>
    <row r="234" spans="3:14" ht="10.5">
      <c r="C234" s="12" t="s">
        <v>57</v>
      </c>
      <c r="D234" s="2" t="s">
        <v>58</v>
      </c>
      <c r="E234" s="1">
        <f>'Базовые цены за единицу'!I18</f>
        <v>31.0155</v>
      </c>
      <c r="L234" s="1">
        <f>'Текущие цены с учетом расхода'!I18</f>
        <v>17.058525</v>
      </c>
      <c r="M234" s="1" t="s">
        <v>59</v>
      </c>
      <c r="N234" s="1" t="s">
        <v>59</v>
      </c>
    </row>
    <row r="235" spans="6:12" ht="10.5">
      <c r="F235" s="15"/>
      <c r="G235" s="15"/>
      <c r="H235" s="16">
        <f>ROUND(SUMIF(M214:M234,"=sum",H214:H234)+IF(H228="",'Базовые цены с учетом расхода'!N18,H228)+IF(H231="",'Базовые цены с учетом расхода'!O18,H231),2)</f>
        <v>1007.58</v>
      </c>
      <c r="I235" s="15"/>
      <c r="J235" s="15"/>
      <c r="K235" s="16">
        <f>ROUND(SUMIF(M214:M234,"=sum",K214:K234)+IF(K228="",'Текущие цены с учетом расхода'!N18,K228)+IF(K231="",'Текущие цены с учетом расхода'!O18,K231),2)</f>
        <v>18638.1</v>
      </c>
      <c r="L235" s="17">
        <f>ОКРУГЛВСЕ(SUMIF(N214:N234,"=Г",L214:L234),8)</f>
        <v>17.058525</v>
      </c>
    </row>
    <row r="236" spans="1:12" ht="52.5">
      <c r="A236" s="18" t="s">
        <v>141</v>
      </c>
      <c r="B236" s="19" t="s">
        <v>142</v>
      </c>
      <c r="C236" s="19" t="s">
        <v>143</v>
      </c>
      <c r="D236" s="18" t="s">
        <v>63</v>
      </c>
      <c r="E236" s="15">
        <v>0.5</v>
      </c>
      <c r="F236" s="20">
        <f>'Базовые цены за единицу без нач'!B13</f>
        <v>1848.07</v>
      </c>
      <c r="G236" s="15"/>
      <c r="H236" s="15"/>
      <c r="I236" s="21" t="s">
        <v>385</v>
      </c>
      <c r="J236" s="15"/>
      <c r="K236" s="15"/>
      <c r="L236" s="15"/>
    </row>
    <row r="237" spans="3:14" ht="10.5">
      <c r="C237" s="12" t="s">
        <v>29</v>
      </c>
      <c r="F237" s="10">
        <v>317.07</v>
      </c>
      <c r="G237" s="3" t="s">
        <v>128</v>
      </c>
      <c r="H237" s="10">
        <f>'Базовые цены с учетом расхода'!C19</f>
        <v>182.32</v>
      </c>
      <c r="J237" s="13">
        <v>26.22</v>
      </c>
      <c r="K237" s="10">
        <f>'Текущие цены с учетом расхода'!C19</f>
        <v>4780.31</v>
      </c>
      <c r="M237" s="1" t="s">
        <v>30</v>
      </c>
      <c r="N237" s="1" t="s">
        <v>31</v>
      </c>
    </row>
    <row r="238" spans="3:13" ht="10.5">
      <c r="C238" s="12" t="s">
        <v>35</v>
      </c>
      <c r="F238" s="10">
        <v>42.05</v>
      </c>
      <c r="G238" s="3" t="s">
        <v>129</v>
      </c>
      <c r="H238" s="10">
        <f>'Базовые цены с учетом расхода'!D19</f>
        <v>26.28</v>
      </c>
      <c r="J238" s="13">
        <v>12.06</v>
      </c>
      <c r="K238" s="10">
        <f>'Текущие цены с учетом расхода'!D19</f>
        <v>316.95</v>
      </c>
      <c r="M238" s="1" t="s">
        <v>30</v>
      </c>
    </row>
    <row r="239" spans="3:14" ht="10.5">
      <c r="C239" s="12" t="s">
        <v>36</v>
      </c>
      <c r="F239" s="10">
        <v>17.15</v>
      </c>
      <c r="G239" s="3" t="s">
        <v>129</v>
      </c>
      <c r="H239" s="10">
        <f>'Базовые цены с учетом расхода'!E19</f>
        <v>10.72</v>
      </c>
      <c r="J239" s="13">
        <v>26.22</v>
      </c>
      <c r="K239" s="10">
        <f>'Текущие цены с учетом расхода'!E19</f>
        <v>281.05</v>
      </c>
      <c r="N239" s="1" t="s">
        <v>64</v>
      </c>
    </row>
    <row r="240" spans="3:14" ht="10.5">
      <c r="C240" s="12" t="s">
        <v>130</v>
      </c>
      <c r="F240" s="10">
        <v>1488.95</v>
      </c>
      <c r="G240" s="3"/>
      <c r="H240" s="10">
        <f>'Базовые цены с учетом расхода'!F19</f>
        <v>744.48</v>
      </c>
      <c r="J240" s="13">
        <v>8.39</v>
      </c>
      <c r="K240" s="10">
        <f>'Текущие цены с учетом расхода'!F19</f>
        <v>6246.14</v>
      </c>
      <c r="M240" s="1" t="s">
        <v>30</v>
      </c>
      <c r="N240" s="1" t="s">
        <v>41</v>
      </c>
    </row>
    <row r="241" spans="2:11" ht="21">
      <c r="B241" s="2" t="s">
        <v>144</v>
      </c>
      <c r="C241" s="2" t="s">
        <v>145</v>
      </c>
      <c r="D241" s="3" t="s">
        <v>127</v>
      </c>
      <c r="E241" s="1">
        <v>1.02</v>
      </c>
      <c r="F241" s="10">
        <v>725.69</v>
      </c>
      <c r="H241" s="10"/>
      <c r="K241" s="10">
        <v>6210.31</v>
      </c>
    </row>
    <row r="242" spans="3:11" ht="10.5" hidden="1">
      <c r="C242" s="12" t="s">
        <v>29</v>
      </c>
      <c r="H242" s="1">
        <v>182.32</v>
      </c>
      <c r="K242" s="1">
        <v>4780.31</v>
      </c>
    </row>
    <row r="243" spans="3:11" ht="10.5" hidden="1">
      <c r="C243" s="12" t="s">
        <v>35</v>
      </c>
      <c r="H243" s="1">
        <v>26.28</v>
      </c>
      <c r="K243" s="1">
        <v>316.95</v>
      </c>
    </row>
    <row r="244" spans="3:11" ht="10.5" hidden="1">
      <c r="C244" s="12" t="s">
        <v>36</v>
      </c>
      <c r="H244" s="1">
        <v>10.72</v>
      </c>
      <c r="K244" s="1">
        <v>281.05</v>
      </c>
    </row>
    <row r="245" spans="3:11" ht="10.5" hidden="1">
      <c r="C245" s="12" t="s">
        <v>37</v>
      </c>
      <c r="H245" s="1">
        <v>744.47</v>
      </c>
      <c r="K245" s="1">
        <v>6246.14</v>
      </c>
    </row>
    <row r="246" ht="31.5" hidden="1">
      <c r="C246" s="12" t="s">
        <v>38</v>
      </c>
    </row>
    <row r="247" spans="3:14" ht="21" hidden="1">
      <c r="C247" s="12" t="s">
        <v>39</v>
      </c>
      <c r="F247" s="14"/>
      <c r="J247" s="14"/>
      <c r="M247" s="1" t="s">
        <v>40</v>
      </c>
      <c r="N247" s="1" t="s">
        <v>41</v>
      </c>
    </row>
    <row r="248" ht="21" hidden="1">
      <c r="C248" s="12" t="s">
        <v>42</v>
      </c>
    </row>
    <row r="249" ht="21" hidden="1">
      <c r="C249" s="12" t="s">
        <v>43</v>
      </c>
    </row>
    <row r="250" ht="21" hidden="1">
      <c r="C250" s="12" t="s">
        <v>44</v>
      </c>
    </row>
    <row r="251" spans="3:14" ht="10.5">
      <c r="C251" s="12" t="s">
        <v>45</v>
      </c>
      <c r="F251" s="1">
        <v>110.7</v>
      </c>
      <c r="H251" s="10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  <v>213.7</v>
      </c>
      <c r="J251" s="1">
        <v>110.7</v>
      </c>
      <c r="K251" s="10">
        <f>IF('Текущие цены с учетом расхода'!N19&gt;0,'Текущие цены с учетом расхода'!N19,IF('Текущие цены с учетом расхода'!N19&lt;0,'Текущие цены с учетом расхода'!N19,""))</f>
        <v>5602.93</v>
      </c>
      <c r="N251" s="2" t="s">
        <v>46</v>
      </c>
    </row>
    <row r="252" spans="3:14" ht="10.5" hidden="1">
      <c r="C252" s="12" t="s">
        <v>47</v>
      </c>
      <c r="F252" s="1">
        <v>110.7</v>
      </c>
      <c r="H252" s="10">
        <f>IF('Базовые цены с учетом расхода'!P19&gt;0,'Базовые цены с учетом расхода'!P19,IF('Базовые цены с учетом расхода'!P19&lt;0,'Базовые цены с учетом расхода'!P19,""))</f>
        <v>201.82</v>
      </c>
      <c r="J252" s="1">
        <v>110.7</v>
      </c>
      <c r="K252" s="10">
        <f>IF('Текущие цены с учетом расхода'!P19&gt;0,'Текущие цены с учетом расхода'!P19,IF('Текущие цены с учетом расхода'!P19&lt;0,'Текущие цены с учетом расхода'!P19,""))</f>
        <v>5291.8</v>
      </c>
      <c r="N252" s="2" t="s">
        <v>48</v>
      </c>
    </row>
    <row r="253" spans="3:14" ht="10.5" hidden="1">
      <c r="C253" s="12" t="s">
        <v>49</v>
      </c>
      <c r="F253" s="1">
        <v>110.7</v>
      </c>
      <c r="H253" s="10">
        <f>IF('Базовые цены с учетом расхода'!Q19&gt;0,'Базовые цены с учетом расхода'!Q19,IF('Базовые цены с учетом расхода'!Q19&lt;0,'Базовые цены с учетом расхода'!Q19,""))</f>
        <v>11.87</v>
      </c>
      <c r="J253" s="1">
        <v>110.7</v>
      </c>
      <c r="K253" s="10">
        <f>IF('Текущие цены с учетом расхода'!Q19&gt;0,'Текущие цены с учетом расхода'!Q19,IF('Текущие цены с учетом расхода'!Q19&lt;0,'Текущие цены с учетом расхода'!Q19,""))</f>
        <v>311.12</v>
      </c>
      <c r="N253" s="2" t="s">
        <v>50</v>
      </c>
    </row>
    <row r="254" spans="3:14" ht="21">
      <c r="C254" s="12" t="s">
        <v>51</v>
      </c>
      <c r="F254" s="1">
        <v>63.75</v>
      </c>
      <c r="H254" s="10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  <v>123.06</v>
      </c>
      <c r="J254" s="1">
        <v>63.75</v>
      </c>
      <c r="K254" s="10">
        <f>IF('Текущие цены с учетом расхода'!O19&gt;0,'Текущие цены с учетом расхода'!O19,IF('Текущие цены с учетом расхода'!O19&lt;0,'Текущие цены с учетом расхода'!O19,""))</f>
        <v>3226.62</v>
      </c>
      <c r="N254" s="2" t="s">
        <v>52</v>
      </c>
    </row>
    <row r="255" spans="3:14" ht="10.5" hidden="1">
      <c r="C255" s="12" t="s">
        <v>53</v>
      </c>
      <c r="F255" s="1">
        <v>63.75</v>
      </c>
      <c r="H255" s="10">
        <f>IF('Базовые цены с учетом расхода'!R19&gt;0,'Базовые цены с учетом расхода'!R19,IF('Базовые цены с учетом расхода'!R19&lt;0,'Базовые цены с учетом расхода'!R19,""))</f>
        <v>116.23</v>
      </c>
      <c r="J255" s="1">
        <v>63.75</v>
      </c>
      <c r="K255" s="10">
        <f>IF('Текущие цены с учетом расхода'!R19&gt;0,'Текущие цены с учетом расхода'!R19,IF('Текущие цены с учетом расхода'!R19&lt;0,'Текущие цены с учетом расхода'!R19,""))</f>
        <v>3047.44</v>
      </c>
      <c r="N255" s="2" t="s">
        <v>54</v>
      </c>
    </row>
    <row r="256" spans="3:14" ht="10.5" hidden="1">
      <c r="C256" s="12" t="s">
        <v>55</v>
      </c>
      <c r="F256" s="1">
        <v>63.75</v>
      </c>
      <c r="H256" s="10">
        <f>IF('Базовые цены с учетом расхода'!S19&gt;0,'Базовые цены с учетом расхода'!S19,IF('Базовые цены с учетом расхода'!S19&lt;0,'Базовые цены с учетом расхода'!S19,""))</f>
        <v>6.83</v>
      </c>
      <c r="J256" s="1">
        <v>63.75</v>
      </c>
      <c r="K256" s="10">
        <f>IF('Текущие цены с учетом расхода'!S19&gt;0,'Текущие цены с учетом расхода'!S19,IF('Текущие цены с учетом расхода'!S19&lt;0,'Текущие цены с учетом расхода'!S19,""))</f>
        <v>179.17</v>
      </c>
      <c r="N256" s="2" t="s">
        <v>56</v>
      </c>
    </row>
    <row r="257" spans="3:14" ht="10.5">
      <c r="C257" s="12" t="s">
        <v>57</v>
      </c>
      <c r="D257" s="2" t="s">
        <v>58</v>
      </c>
      <c r="E257" s="1">
        <f>'Базовые цены за единицу'!I19</f>
        <v>46.7475</v>
      </c>
      <c r="L257" s="1">
        <f>'Текущие цены с учетом расхода'!I19</f>
        <v>23.37375</v>
      </c>
      <c r="M257" s="1" t="s">
        <v>59</v>
      </c>
      <c r="N257" s="1" t="s">
        <v>59</v>
      </c>
    </row>
    <row r="258" spans="6:12" ht="10.5">
      <c r="F258" s="15"/>
      <c r="G258" s="15"/>
      <c r="H258" s="16">
        <f>ROUND(SUMIF(M236:M257,"=sum",H236:H257)+IF(H251="",'Базовые цены с учетом расхода'!N19,H251)+IF(H254="",'Базовые цены с учетом расхода'!O19,H254),2)</f>
        <v>1289.84</v>
      </c>
      <c r="I258" s="15"/>
      <c r="J258" s="15"/>
      <c r="K258" s="16">
        <f>ROUND(SUMIF(M236:M257,"=sum",K236:K257)+IF(K251="",'Текущие цены с учетом расхода'!N19,K251)+IF(K254="",'Текущие цены с учетом расхода'!O19,K254),2)</f>
        <v>20172.95</v>
      </c>
      <c r="L258" s="17">
        <f>ОКРУГЛВСЕ(SUMIF(N236:N257,"=Г",L236:L257),8)</f>
        <v>23.37375</v>
      </c>
    </row>
    <row r="259" spans="1:12" ht="52.5">
      <c r="A259" s="18" t="s">
        <v>146</v>
      </c>
      <c r="B259" s="19" t="s">
        <v>147</v>
      </c>
      <c r="C259" s="19" t="s">
        <v>148</v>
      </c>
      <c r="D259" s="18" t="s">
        <v>63</v>
      </c>
      <c r="E259" s="15">
        <v>0.5</v>
      </c>
      <c r="F259" s="20">
        <f>'Базовые цены за единицу без нач'!B14</f>
        <v>751.82</v>
      </c>
      <c r="G259" s="15"/>
      <c r="H259" s="15"/>
      <c r="I259" s="21" t="s">
        <v>386</v>
      </c>
      <c r="J259" s="15"/>
      <c r="K259" s="15"/>
      <c r="L259" s="15"/>
    </row>
    <row r="260" spans="3:14" ht="10.5">
      <c r="C260" s="12" t="s">
        <v>29</v>
      </c>
      <c r="F260" s="10">
        <v>3.9</v>
      </c>
      <c r="G260" s="3" t="s">
        <v>149</v>
      </c>
      <c r="H260" s="10">
        <f>'Базовые цены с учетом расхода'!C20</f>
        <v>4.49</v>
      </c>
      <c r="J260" s="13">
        <v>26.22</v>
      </c>
      <c r="K260" s="10">
        <f>'Текущие цены с учетом расхода'!C20</f>
        <v>117.6</v>
      </c>
      <c r="M260" s="1" t="s">
        <v>30</v>
      </c>
      <c r="N260" s="1" t="s">
        <v>31</v>
      </c>
    </row>
    <row r="261" spans="3:13" ht="10.5">
      <c r="C261" s="12" t="s">
        <v>35</v>
      </c>
      <c r="F261" s="10">
        <v>7.72</v>
      </c>
      <c r="G261" s="3" t="s">
        <v>150</v>
      </c>
      <c r="H261" s="10">
        <f>'Базовые цены с учетом расхода'!D20</f>
        <v>9.65</v>
      </c>
      <c r="J261" s="13">
        <v>11.28</v>
      </c>
      <c r="K261" s="10">
        <f>'Текущие цены с учетом расхода'!D20</f>
        <v>108.85</v>
      </c>
      <c r="M261" s="1" t="s">
        <v>30</v>
      </c>
    </row>
    <row r="262" spans="3:14" ht="10.5">
      <c r="C262" s="12" t="s">
        <v>36</v>
      </c>
      <c r="F262" s="10">
        <v>2.84</v>
      </c>
      <c r="G262" s="3" t="s">
        <v>150</v>
      </c>
      <c r="H262" s="10">
        <f>'Базовые цены с учетом расхода'!E20</f>
        <v>3.55</v>
      </c>
      <c r="J262" s="13">
        <v>26.22</v>
      </c>
      <c r="K262" s="10">
        <f>'Текущие цены с учетом расхода'!E20</f>
        <v>93.08</v>
      </c>
      <c r="N262" s="1" t="s">
        <v>64</v>
      </c>
    </row>
    <row r="263" spans="3:14" ht="10.5">
      <c r="C263" s="12" t="s">
        <v>130</v>
      </c>
      <c r="F263" s="10">
        <v>740.2</v>
      </c>
      <c r="G263" s="3"/>
      <c r="H263" s="10">
        <f>'Базовые цены с учетом расхода'!F20</f>
        <v>370.1</v>
      </c>
      <c r="J263" s="13">
        <v>1</v>
      </c>
      <c r="K263" s="10">
        <f>'Текущие цены с учетом расхода'!F20</f>
        <v>370.1</v>
      </c>
      <c r="M263" s="1" t="s">
        <v>30</v>
      </c>
      <c r="N263" s="1" t="s">
        <v>41</v>
      </c>
    </row>
    <row r="264" spans="2:11" ht="21">
      <c r="B264" s="2" t="s">
        <v>144</v>
      </c>
      <c r="C264" s="2" t="s">
        <v>145</v>
      </c>
      <c r="D264" s="3" t="s">
        <v>127</v>
      </c>
      <c r="E264" s="1">
        <v>0.51</v>
      </c>
      <c r="F264" s="10">
        <v>725.69</v>
      </c>
      <c r="H264" s="10"/>
      <c r="K264" s="10">
        <v>370.1</v>
      </c>
    </row>
    <row r="265" spans="3:11" ht="10.5" hidden="1">
      <c r="C265" s="12" t="s">
        <v>29</v>
      </c>
      <c r="H265" s="1">
        <v>4.49</v>
      </c>
      <c r="K265" s="1">
        <v>117.6</v>
      </c>
    </row>
    <row r="266" spans="3:11" ht="10.5" hidden="1">
      <c r="C266" s="12" t="s">
        <v>35</v>
      </c>
      <c r="H266" s="1">
        <v>9.65</v>
      </c>
      <c r="K266" s="1">
        <v>108.85</v>
      </c>
    </row>
    <row r="267" spans="3:11" ht="10.5" hidden="1">
      <c r="C267" s="12" t="s">
        <v>36</v>
      </c>
      <c r="H267" s="1">
        <v>3.55</v>
      </c>
      <c r="K267" s="1">
        <v>93.08</v>
      </c>
    </row>
    <row r="268" spans="3:11" ht="10.5" hidden="1">
      <c r="C268" s="12" t="s">
        <v>37</v>
      </c>
      <c r="H268" s="1">
        <v>370.1</v>
      </c>
      <c r="K268" s="1">
        <v>370.1</v>
      </c>
    </row>
    <row r="269" ht="31.5" hidden="1">
      <c r="C269" s="12" t="s">
        <v>38</v>
      </c>
    </row>
    <row r="270" spans="3:14" ht="21" hidden="1">
      <c r="C270" s="12" t="s">
        <v>39</v>
      </c>
      <c r="F270" s="14"/>
      <c r="J270" s="14"/>
      <c r="M270" s="1" t="s">
        <v>40</v>
      </c>
      <c r="N270" s="1" t="s">
        <v>41</v>
      </c>
    </row>
    <row r="271" ht="21" hidden="1">
      <c r="C271" s="12" t="s">
        <v>42</v>
      </c>
    </row>
    <row r="272" ht="21" hidden="1">
      <c r="C272" s="12" t="s">
        <v>43</v>
      </c>
    </row>
    <row r="273" ht="21" hidden="1">
      <c r="C273" s="12" t="s">
        <v>44</v>
      </c>
    </row>
    <row r="274" spans="3:14" ht="10.5">
      <c r="C274" s="12" t="s">
        <v>45</v>
      </c>
      <c r="F274" s="1">
        <v>110.7</v>
      </c>
      <c r="H274" s="10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  <v>8.9</v>
      </c>
      <c r="J274" s="1">
        <v>110.7</v>
      </c>
      <c r="K274" s="10">
        <f>IF('Текущие цены с учетом расхода'!N20&gt;0,'Текущие цены с учетом расхода'!N20,IF('Текущие цены с учетом расхода'!N20&lt;0,'Текущие цены с учетом расхода'!N20,""))</f>
        <v>233.22</v>
      </c>
      <c r="N274" s="2" t="s">
        <v>46</v>
      </c>
    </row>
    <row r="275" spans="3:14" ht="10.5" hidden="1">
      <c r="C275" s="12" t="s">
        <v>47</v>
      </c>
      <c r="F275" s="1">
        <v>110.7</v>
      </c>
      <c r="H275" s="10">
        <f>IF('Базовые цены с учетом расхода'!P20&gt;0,'Базовые цены с учетом расхода'!P20,IF('Базовые цены с учетом расхода'!P20&lt;0,'Базовые цены с учетом расхода'!P20,""))</f>
        <v>4.96</v>
      </c>
      <c r="J275" s="1">
        <v>110.7</v>
      </c>
      <c r="K275" s="10">
        <f>IF('Текущие цены с учетом расхода'!P20&gt;0,'Текущие цены с учетом расхода'!P20,IF('Текущие цены с учетом расхода'!P20&lt;0,'Текущие цены с учетом расхода'!P20,""))</f>
        <v>130.18</v>
      </c>
      <c r="N275" s="2" t="s">
        <v>48</v>
      </c>
    </row>
    <row r="276" spans="3:14" ht="10.5" hidden="1">
      <c r="C276" s="12" t="s">
        <v>49</v>
      </c>
      <c r="F276" s="1">
        <v>110.7</v>
      </c>
      <c r="H276" s="10">
        <f>IF('Базовые цены с учетом расхода'!Q20&gt;0,'Базовые цены с учетом расхода'!Q20,IF('Базовые цены с учетом расхода'!Q20&lt;0,'Базовые цены с учетом расхода'!Q20,""))</f>
        <v>3.93</v>
      </c>
      <c r="J276" s="1">
        <v>110.7</v>
      </c>
      <c r="K276" s="10">
        <f>IF('Текущие цены с учетом расхода'!Q20&gt;0,'Текущие цены с учетом расхода'!Q20,IF('Текущие цены с учетом расхода'!Q20&lt;0,'Текущие цены с учетом расхода'!Q20,""))</f>
        <v>103.04</v>
      </c>
      <c r="N276" s="2" t="s">
        <v>50</v>
      </c>
    </row>
    <row r="277" spans="3:14" ht="21">
      <c r="C277" s="12" t="s">
        <v>51</v>
      </c>
      <c r="F277" s="1">
        <v>63.75</v>
      </c>
      <c r="H277" s="10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  <v>5.13</v>
      </c>
      <c r="J277" s="1">
        <v>63.75</v>
      </c>
      <c r="K277" s="10">
        <f>IF('Текущие цены с учетом расхода'!O20&gt;0,'Текущие цены с учетом расхода'!O20,IF('Текущие цены с учетом расхода'!O20&lt;0,'Текущие цены с учетом расхода'!O20,""))</f>
        <v>134.31</v>
      </c>
      <c r="N277" s="2" t="s">
        <v>52</v>
      </c>
    </row>
    <row r="278" spans="3:14" ht="10.5" hidden="1">
      <c r="C278" s="12" t="s">
        <v>53</v>
      </c>
      <c r="F278" s="1">
        <v>63.75</v>
      </c>
      <c r="H278" s="10">
        <f>IF('Базовые цены с учетом расхода'!R20&gt;0,'Базовые цены с учетом расхода'!R20,IF('Базовые цены с учетом расхода'!R20&lt;0,'Базовые цены с учетом расхода'!R20,""))</f>
        <v>2.86</v>
      </c>
      <c r="J278" s="1">
        <v>63.75</v>
      </c>
      <c r="K278" s="10">
        <f>IF('Текущие цены с учетом расхода'!R20&gt;0,'Текущие цены с учетом расхода'!R20,IF('Текущие цены с учетом расхода'!R20&lt;0,'Текущие цены с учетом расхода'!R20,""))</f>
        <v>74.97</v>
      </c>
      <c r="N278" s="2" t="s">
        <v>54</v>
      </c>
    </row>
    <row r="279" spans="3:14" ht="10.5" hidden="1">
      <c r="C279" s="12" t="s">
        <v>55</v>
      </c>
      <c r="F279" s="1">
        <v>63.75</v>
      </c>
      <c r="H279" s="10">
        <f>IF('Базовые цены с учетом расхода'!S20&gt;0,'Базовые цены с учетом расхода'!S20,IF('Базовые цены с учетом расхода'!S20&lt;0,'Базовые цены с учетом расхода'!S20,""))</f>
        <v>2.26</v>
      </c>
      <c r="J279" s="1">
        <v>63.75</v>
      </c>
      <c r="K279" s="10">
        <f>IF('Текущие цены с учетом расхода'!S20&gt;0,'Текущие цены с учетом расхода'!S20,IF('Текущие цены с учетом расхода'!S20&lt;0,'Текущие цены с учетом расхода'!S20,""))</f>
        <v>59.34</v>
      </c>
      <c r="N279" s="2" t="s">
        <v>56</v>
      </c>
    </row>
    <row r="280" spans="3:14" ht="10.5">
      <c r="C280" s="12" t="s">
        <v>57</v>
      </c>
      <c r="D280" s="2" t="s">
        <v>58</v>
      </c>
      <c r="E280" s="1">
        <f>'Базовые цены за единицу'!I20</f>
        <v>1.15</v>
      </c>
      <c r="L280" s="1">
        <f>'Текущие цены с учетом расхода'!I20</f>
        <v>0.575</v>
      </c>
      <c r="M280" s="1" t="s">
        <v>59</v>
      </c>
      <c r="N280" s="1" t="s">
        <v>59</v>
      </c>
    </row>
    <row r="281" spans="6:12" ht="10.5">
      <c r="F281" s="15"/>
      <c r="G281" s="15"/>
      <c r="H281" s="16">
        <f>ROUND(SUMIF(M259:M280,"=sum",H259:H280)+IF(H274="",'Базовые цены с учетом расхода'!N20,H274)+IF(H277="",'Базовые цены с учетом расхода'!O20,H277),2)</f>
        <v>398.27</v>
      </c>
      <c r="I281" s="15"/>
      <c r="J281" s="15"/>
      <c r="K281" s="16">
        <f>ROUND(SUMIF(M259:M280,"=sum",K259:K280)+IF(K274="",'Текущие цены с учетом расхода'!N20,K274)+IF(K277="",'Текущие цены с учетом расхода'!O20,K277),2)</f>
        <v>964.08</v>
      </c>
      <c r="L281" s="17">
        <f>ОКРУГЛВСЕ(SUMIF(N259:N280,"=Г",L259:L280),8)</f>
        <v>0.575</v>
      </c>
    </row>
    <row r="282" spans="1:12" ht="52.5">
      <c r="A282" s="18" t="s">
        <v>151</v>
      </c>
      <c r="B282" s="19" t="s">
        <v>152</v>
      </c>
      <c r="C282" s="19" t="s">
        <v>153</v>
      </c>
      <c r="D282" s="18" t="s">
        <v>34</v>
      </c>
      <c r="E282" s="15">
        <v>0.05</v>
      </c>
      <c r="F282" s="20">
        <f>'Базовые цены за единицу без нач'!B15</f>
        <v>6079.97</v>
      </c>
      <c r="G282" s="15"/>
      <c r="H282" s="15"/>
      <c r="I282" s="21" t="s">
        <v>387</v>
      </c>
      <c r="J282" s="15"/>
      <c r="K282" s="15"/>
      <c r="L282" s="15"/>
    </row>
    <row r="283" spans="3:14" ht="10.5">
      <c r="C283" s="12" t="s">
        <v>29</v>
      </c>
      <c r="F283" s="10">
        <v>111.99</v>
      </c>
      <c r="G283" s="3" t="s">
        <v>128</v>
      </c>
      <c r="H283" s="10">
        <f>'Базовые цены с учетом расхода'!C21</f>
        <v>6.44</v>
      </c>
      <c r="J283" s="13">
        <v>26.22</v>
      </c>
      <c r="K283" s="10">
        <f>'Текущие цены с учетом расхода'!C21</f>
        <v>168.84</v>
      </c>
      <c r="M283" s="1" t="s">
        <v>30</v>
      </c>
      <c r="N283" s="1" t="s">
        <v>31</v>
      </c>
    </row>
    <row r="284" spans="3:13" ht="10.5">
      <c r="C284" s="12" t="s">
        <v>35</v>
      </c>
      <c r="F284" s="10">
        <v>32.38</v>
      </c>
      <c r="G284" s="3" t="s">
        <v>129</v>
      </c>
      <c r="H284" s="10">
        <f>'Базовые цены с учетом расхода'!D21</f>
        <v>2.02</v>
      </c>
      <c r="J284" s="13">
        <v>8.96</v>
      </c>
      <c r="K284" s="10">
        <f>'Текущие цены с учетом расхода'!D21</f>
        <v>18.13</v>
      </c>
      <c r="M284" s="1" t="s">
        <v>30</v>
      </c>
    </row>
    <row r="285" spans="3:14" ht="10.5">
      <c r="C285" s="12" t="s">
        <v>36</v>
      </c>
      <c r="F285" s="10">
        <v>4.71</v>
      </c>
      <c r="G285" s="3" t="s">
        <v>129</v>
      </c>
      <c r="H285" s="10">
        <f>'Базовые цены с учетом расхода'!E21</f>
        <v>0.29</v>
      </c>
      <c r="J285" s="13">
        <v>26.22</v>
      </c>
      <c r="K285" s="10">
        <f>'Текущие цены с учетом расхода'!E21</f>
        <v>7.72</v>
      </c>
      <c r="N285" s="1" t="s">
        <v>64</v>
      </c>
    </row>
    <row r="286" spans="3:14" ht="10.5">
      <c r="C286" s="12" t="s">
        <v>130</v>
      </c>
      <c r="F286" s="10">
        <v>5935.6</v>
      </c>
      <c r="G286" s="3"/>
      <c r="H286" s="10">
        <f>'Базовые цены с учетом расхода'!F21</f>
        <v>296.78</v>
      </c>
      <c r="J286" s="13">
        <v>5.06</v>
      </c>
      <c r="K286" s="10">
        <f>'Текущие цены с учетом расхода'!F21</f>
        <v>1501.71</v>
      </c>
      <c r="M286" s="1" t="s">
        <v>30</v>
      </c>
      <c r="N286" s="1" t="s">
        <v>41</v>
      </c>
    </row>
    <row r="287" spans="2:11" ht="21">
      <c r="B287" s="2" t="s">
        <v>154</v>
      </c>
      <c r="C287" s="2" t="s">
        <v>155</v>
      </c>
      <c r="D287" s="3" t="s">
        <v>34</v>
      </c>
      <c r="E287" s="1">
        <v>0.05</v>
      </c>
      <c r="F287" s="10">
        <v>5650</v>
      </c>
      <c r="H287" s="10"/>
      <c r="K287" s="10">
        <v>1429.45</v>
      </c>
    </row>
    <row r="288" spans="3:11" ht="10.5" hidden="1">
      <c r="C288" s="12" t="s">
        <v>29</v>
      </c>
      <c r="H288" s="1">
        <v>6.44</v>
      </c>
      <c r="K288" s="1">
        <v>168.84</v>
      </c>
    </row>
    <row r="289" spans="3:11" ht="10.5" hidden="1">
      <c r="C289" s="12" t="s">
        <v>35</v>
      </c>
      <c r="H289" s="1">
        <v>2.02</v>
      </c>
      <c r="K289" s="1">
        <v>18.13</v>
      </c>
    </row>
    <row r="290" spans="3:11" ht="10.5" hidden="1">
      <c r="C290" s="12" t="s">
        <v>36</v>
      </c>
      <c r="H290" s="1">
        <v>0.29</v>
      </c>
      <c r="K290" s="1">
        <v>7.72</v>
      </c>
    </row>
    <row r="291" spans="3:11" ht="10.5" hidden="1">
      <c r="C291" s="12" t="s">
        <v>37</v>
      </c>
      <c r="H291" s="1">
        <v>296.78</v>
      </c>
      <c r="K291" s="1">
        <v>1501.71</v>
      </c>
    </row>
    <row r="292" ht="31.5" hidden="1">
      <c r="C292" s="12" t="s">
        <v>38</v>
      </c>
    </row>
    <row r="293" spans="3:14" ht="21" hidden="1">
      <c r="C293" s="12" t="s">
        <v>39</v>
      </c>
      <c r="F293" s="14"/>
      <c r="J293" s="14"/>
      <c r="M293" s="1" t="s">
        <v>40</v>
      </c>
      <c r="N293" s="1" t="s">
        <v>41</v>
      </c>
    </row>
    <row r="294" ht="21" hidden="1">
      <c r="C294" s="12" t="s">
        <v>42</v>
      </c>
    </row>
    <row r="295" ht="21" hidden="1">
      <c r="C295" s="12" t="s">
        <v>43</v>
      </c>
    </row>
    <row r="296" ht="21" hidden="1">
      <c r="C296" s="12" t="s">
        <v>44</v>
      </c>
    </row>
    <row r="297" spans="3:14" ht="10.5">
      <c r="C297" s="12" t="s">
        <v>45</v>
      </c>
      <c r="F297" s="1">
        <v>94.5</v>
      </c>
      <c r="H297" s="10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6.36</v>
      </c>
      <c r="J297" s="1">
        <v>94.5</v>
      </c>
      <c r="K297" s="10">
        <f>IF('Текущие цены с учетом расхода'!N21&gt;0,'Текущие цены с учетом расхода'!N21,IF('Текущие цены с учетом расхода'!N21&lt;0,'Текущие цены с учетом расхода'!N21,""))</f>
        <v>166.85</v>
      </c>
      <c r="N297" s="2" t="s">
        <v>46</v>
      </c>
    </row>
    <row r="298" spans="3:14" ht="10.5" hidden="1">
      <c r="C298" s="12" t="s">
        <v>47</v>
      </c>
      <c r="F298" s="1">
        <v>94.5</v>
      </c>
      <c r="H298" s="10">
        <f>IF('Базовые цены с учетом расхода'!P21&gt;0,'Базовые цены с учетом расхода'!P21,IF('Базовые цены с учетом расхода'!P21&lt;0,'Базовые цены с учетом расхода'!P21,""))</f>
        <v>6.09</v>
      </c>
      <c r="J298" s="1">
        <v>94.5</v>
      </c>
      <c r="K298" s="10">
        <f>IF('Текущие цены с учетом расхода'!P21&gt;0,'Текущие цены с учетом расхода'!P21,IF('Текущие цены с учетом расхода'!P21&lt;0,'Текущие цены с учетом расхода'!P21,""))</f>
        <v>159.56</v>
      </c>
      <c r="N298" s="2" t="s">
        <v>48</v>
      </c>
    </row>
    <row r="299" spans="3:14" ht="10.5" hidden="1">
      <c r="C299" s="12" t="s">
        <v>49</v>
      </c>
      <c r="F299" s="1">
        <v>94.5</v>
      </c>
      <c r="H299" s="10">
        <f>IF('Базовые цены с учетом расхода'!Q21&gt;0,'Базовые цены с учетом расхода'!Q21,IF('Базовые цены с учетом расхода'!Q21&lt;0,'Базовые цены с учетом расхода'!Q21,""))</f>
        <v>0.28</v>
      </c>
      <c r="J299" s="1">
        <v>94.5</v>
      </c>
      <c r="K299" s="10">
        <f>IF('Текущие цены с учетом расхода'!Q21&gt;0,'Текущие цены с учетом расхода'!Q21,IF('Текущие цены с учетом расхода'!Q21&lt;0,'Текущие цены с учетом расхода'!Q21,""))</f>
        <v>7.29</v>
      </c>
      <c r="N299" s="2" t="s">
        <v>50</v>
      </c>
    </row>
    <row r="300" spans="3:14" ht="21">
      <c r="C300" s="12" t="s">
        <v>51</v>
      </c>
      <c r="F300" s="1">
        <v>55.25</v>
      </c>
      <c r="H300" s="10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3.72</v>
      </c>
      <c r="J300" s="1">
        <v>55.25</v>
      </c>
      <c r="K300" s="10">
        <f>IF('Текущие цены с учетом расхода'!O21&gt;0,'Текущие цены с учетом расхода'!O21,IF('Текущие цены с учетом расхода'!O21&lt;0,'Текущие цены с учетом расхода'!O21,""))</f>
        <v>97.55</v>
      </c>
      <c r="N300" s="2" t="s">
        <v>52</v>
      </c>
    </row>
    <row r="301" spans="3:14" ht="10.5" hidden="1">
      <c r="C301" s="12" t="s">
        <v>53</v>
      </c>
      <c r="F301" s="1">
        <v>55.25</v>
      </c>
      <c r="H301" s="10">
        <f>IF('Базовые цены с учетом расхода'!R21&gt;0,'Базовые цены с учетом расхода'!R21,IF('Базовые цены с учетом расхода'!R21&lt;0,'Базовые цены с учетом расхода'!R21,""))</f>
        <v>3.56</v>
      </c>
      <c r="J301" s="1">
        <v>55.25</v>
      </c>
      <c r="K301" s="10">
        <f>IF('Текущие цены с учетом расхода'!R21&gt;0,'Текущие цены с учетом расхода'!R21,IF('Текущие цены с учетом расхода'!R21&lt;0,'Текущие цены с учетом расхода'!R21,""))</f>
        <v>93.28</v>
      </c>
      <c r="N301" s="2" t="s">
        <v>54</v>
      </c>
    </row>
    <row r="302" spans="3:14" ht="10.5" hidden="1">
      <c r="C302" s="12" t="s">
        <v>55</v>
      </c>
      <c r="F302" s="1">
        <v>55.25</v>
      </c>
      <c r="H302" s="10">
        <f>IF('Базовые цены с учетом расхода'!S21&gt;0,'Базовые цены с учетом расхода'!S21,IF('Базовые цены с учетом расхода'!S21&lt;0,'Базовые цены с учетом расхода'!S21,""))</f>
        <v>0.16</v>
      </c>
      <c r="J302" s="1">
        <v>55.25</v>
      </c>
      <c r="K302" s="10">
        <f>IF('Текущие цены с учетом расхода'!S21&gt;0,'Текущие цены с учетом расхода'!S21,IF('Текущие цены с учетом расхода'!S21&lt;0,'Текущие цены с учетом расхода'!S21,""))</f>
        <v>4.26</v>
      </c>
      <c r="N302" s="2" t="s">
        <v>56</v>
      </c>
    </row>
    <row r="303" spans="3:14" ht="10.5">
      <c r="C303" s="12" t="s">
        <v>57</v>
      </c>
      <c r="D303" s="2" t="s">
        <v>58</v>
      </c>
      <c r="E303" s="1">
        <f>'Базовые цены за единицу'!I21</f>
        <v>14.536</v>
      </c>
      <c r="L303" s="1">
        <f>'Текущие цены с учетом расхода'!I21</f>
        <v>0.7268</v>
      </c>
      <c r="M303" s="1" t="s">
        <v>59</v>
      </c>
      <c r="N303" s="1" t="s">
        <v>59</v>
      </c>
    </row>
    <row r="304" spans="6:12" ht="10.5">
      <c r="F304" s="15"/>
      <c r="G304" s="15"/>
      <c r="H304" s="16">
        <f>ROUND(SUMIF(M282:M303,"=sum",H282:H303)+IF(H297="",'Базовые цены с учетом расхода'!N21,H297)+IF(H300="",'Базовые цены с учетом расхода'!O21,H300),2)</f>
        <v>315.32</v>
      </c>
      <c r="I304" s="15"/>
      <c r="J304" s="15"/>
      <c r="K304" s="16">
        <f>ROUND(SUMIF(M282:M303,"=sum",K282:K303)+IF(K297="",'Текущие цены с учетом расхода'!N21,K297)+IF(K300="",'Текущие цены с учетом расхода'!O21,K300),2)</f>
        <v>1953.08</v>
      </c>
      <c r="L304" s="17">
        <f>ОКРУГЛВСЕ(SUMIF(N282:N303,"=Г",L282:L303),8)</f>
        <v>0.7268</v>
      </c>
    </row>
    <row r="305" spans="1:12" ht="52.5">
      <c r="A305" s="18" t="s">
        <v>156</v>
      </c>
      <c r="B305" s="19" t="s">
        <v>157</v>
      </c>
      <c r="C305" s="19" t="s">
        <v>158</v>
      </c>
      <c r="D305" s="18" t="s">
        <v>63</v>
      </c>
      <c r="E305" s="15">
        <v>0.5</v>
      </c>
      <c r="F305" s="20">
        <f>'Базовые цены за единицу без нач'!B16</f>
        <v>5981.97</v>
      </c>
      <c r="G305" s="15"/>
      <c r="H305" s="15"/>
      <c r="I305" s="21" t="s">
        <v>388</v>
      </c>
      <c r="J305" s="15"/>
      <c r="K305" s="15"/>
      <c r="L305" s="15"/>
    </row>
    <row r="306" spans="3:14" ht="10.5">
      <c r="C306" s="12" t="s">
        <v>29</v>
      </c>
      <c r="F306" s="10">
        <v>262.13</v>
      </c>
      <c r="G306" s="3" t="s">
        <v>128</v>
      </c>
      <c r="H306" s="10">
        <f>'Базовые цены с учетом расхода'!C22</f>
        <v>150.73</v>
      </c>
      <c r="J306" s="13">
        <v>26.22</v>
      </c>
      <c r="K306" s="10">
        <f>'Текущие цены с учетом расхода'!C22</f>
        <v>3952.01</v>
      </c>
      <c r="M306" s="1" t="s">
        <v>30</v>
      </c>
      <c r="N306" s="1" t="s">
        <v>31</v>
      </c>
    </row>
    <row r="307" spans="3:13" ht="10.5">
      <c r="C307" s="12" t="s">
        <v>35</v>
      </c>
      <c r="F307" s="10">
        <v>3.25</v>
      </c>
      <c r="G307" s="3" t="s">
        <v>129</v>
      </c>
      <c r="H307" s="10">
        <f>'Базовые цены с учетом расхода'!D22</f>
        <v>2.03</v>
      </c>
      <c r="J307" s="13">
        <v>11.65</v>
      </c>
      <c r="K307" s="10">
        <f>'Текущие цены с учетом расхода'!D22</f>
        <v>23.67</v>
      </c>
      <c r="M307" s="1" t="s">
        <v>30</v>
      </c>
    </row>
    <row r="308" spans="3:14" ht="10.5">
      <c r="C308" s="12" t="s">
        <v>36</v>
      </c>
      <c r="F308" s="10">
        <v>1.04</v>
      </c>
      <c r="G308" s="3" t="s">
        <v>129</v>
      </c>
      <c r="H308" s="10">
        <f>'Базовые цены с учетом расхода'!E22</f>
        <v>0.65</v>
      </c>
      <c r="J308" s="13">
        <v>26.22</v>
      </c>
      <c r="K308" s="10">
        <f>'Текущие цены с учетом расхода'!E22</f>
        <v>17.05</v>
      </c>
      <c r="N308" s="1" t="s">
        <v>64</v>
      </c>
    </row>
    <row r="309" spans="3:14" ht="10.5">
      <c r="C309" s="12" t="s">
        <v>130</v>
      </c>
      <c r="F309" s="10">
        <v>5716.59</v>
      </c>
      <c r="G309" s="3"/>
      <c r="H309" s="10">
        <f>'Базовые цены с учетом расхода'!F22</f>
        <v>2858.3</v>
      </c>
      <c r="J309" s="13">
        <v>3.01</v>
      </c>
      <c r="K309" s="10">
        <f>'Текущие цены с учетом расхода'!F22</f>
        <v>8603.47</v>
      </c>
      <c r="M309" s="1" t="s">
        <v>30</v>
      </c>
      <c r="N309" s="1" t="s">
        <v>41</v>
      </c>
    </row>
    <row r="310" spans="3:11" ht="10.5" hidden="1">
      <c r="C310" s="12" t="s">
        <v>29</v>
      </c>
      <c r="H310" s="1">
        <v>150.72</v>
      </c>
      <c r="K310" s="1">
        <v>3952</v>
      </c>
    </row>
    <row r="311" spans="3:11" ht="10.5" hidden="1">
      <c r="C311" s="12" t="s">
        <v>35</v>
      </c>
      <c r="H311" s="1">
        <v>2.03</v>
      </c>
      <c r="K311" s="1">
        <v>23.66</v>
      </c>
    </row>
    <row r="312" spans="3:11" ht="10.5" hidden="1">
      <c r="C312" s="12" t="s">
        <v>36</v>
      </c>
      <c r="H312" s="1">
        <v>0.65</v>
      </c>
      <c r="K312" s="1">
        <v>17.04</v>
      </c>
    </row>
    <row r="313" spans="3:11" ht="10.5" hidden="1">
      <c r="C313" s="12" t="s">
        <v>37</v>
      </c>
      <c r="H313" s="1">
        <v>2858.3</v>
      </c>
      <c r="K313" s="1">
        <v>8603.47</v>
      </c>
    </row>
    <row r="314" ht="31.5" hidden="1">
      <c r="C314" s="12" t="s">
        <v>38</v>
      </c>
    </row>
    <row r="315" spans="3:14" ht="21" hidden="1">
      <c r="C315" s="12" t="s">
        <v>39</v>
      </c>
      <c r="F315" s="14"/>
      <c r="J315" s="14"/>
      <c r="M315" s="1" t="s">
        <v>40</v>
      </c>
      <c r="N315" s="1" t="s">
        <v>41</v>
      </c>
    </row>
    <row r="316" ht="21" hidden="1">
      <c r="C316" s="12" t="s">
        <v>42</v>
      </c>
    </row>
    <row r="317" ht="21" hidden="1">
      <c r="C317" s="12" t="s">
        <v>43</v>
      </c>
    </row>
    <row r="318" ht="21" hidden="1">
      <c r="C318" s="12" t="s">
        <v>44</v>
      </c>
    </row>
    <row r="319" spans="3:14" ht="10.5">
      <c r="C319" s="12" t="s">
        <v>45</v>
      </c>
      <c r="F319" s="1">
        <v>110.7</v>
      </c>
      <c r="H319" s="10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  <v>167.58</v>
      </c>
      <c r="J319" s="1">
        <v>110.7</v>
      </c>
      <c r="K319" s="10">
        <f>IF('Текущие цены с учетом расхода'!N22&gt;0,'Текущие цены с учетом расхода'!N22,IF('Текущие цены с учетом расхода'!N22&lt;0,'Текущие цены с учетом расхода'!N22,""))</f>
        <v>4393.75</v>
      </c>
      <c r="N319" s="2" t="s">
        <v>46</v>
      </c>
    </row>
    <row r="320" spans="3:14" ht="10.5" hidden="1">
      <c r="C320" s="12" t="s">
        <v>47</v>
      </c>
      <c r="F320" s="1">
        <v>110.7</v>
      </c>
      <c r="H320" s="10">
        <f>IF('Базовые цены с учетом расхода'!P22&gt;0,'Базовые цены с учетом расхода'!P22,IF('Базовые цены с учетом расхода'!P22&lt;0,'Базовые цены с учетом расхода'!P22,""))</f>
        <v>166.85</v>
      </c>
      <c r="J320" s="1">
        <v>110.7</v>
      </c>
      <c r="K320" s="10">
        <f>IF('Текущие цены с учетом расхода'!P22&gt;0,'Текущие цены с учетом расхода'!P22,IF('Текущие цены с учетом расхода'!P22&lt;0,'Текущие цены с учетом расхода'!P22,""))</f>
        <v>4374.87</v>
      </c>
      <c r="N320" s="2" t="s">
        <v>48</v>
      </c>
    </row>
    <row r="321" spans="3:14" ht="10.5" hidden="1">
      <c r="C321" s="12" t="s">
        <v>49</v>
      </c>
      <c r="F321" s="1">
        <v>110.7</v>
      </c>
      <c r="H321" s="10">
        <f>IF('Базовые цены с учетом расхода'!Q22&gt;0,'Базовые цены с учетом расхода'!Q22,IF('Базовые цены с учетом расхода'!Q22&lt;0,'Базовые цены с учетом расхода'!Q22,""))</f>
        <v>0.72</v>
      </c>
      <c r="J321" s="1">
        <v>110.7</v>
      </c>
      <c r="K321" s="10">
        <f>IF('Текущие цены с учетом расхода'!Q22&gt;0,'Текущие цены с учетом расхода'!Q22,IF('Текущие цены с учетом расхода'!Q22&lt;0,'Текущие цены с учетом расхода'!Q22,""))</f>
        <v>18.87</v>
      </c>
      <c r="N321" s="2" t="s">
        <v>50</v>
      </c>
    </row>
    <row r="322" spans="3:14" ht="21">
      <c r="C322" s="12" t="s">
        <v>51</v>
      </c>
      <c r="F322" s="1">
        <v>63.75</v>
      </c>
      <c r="H322" s="10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  <v>96.5</v>
      </c>
      <c r="J322" s="1">
        <v>63.75</v>
      </c>
      <c r="K322" s="10">
        <f>IF('Текущие цены с учетом расхода'!O22&gt;0,'Текущие цены с учетом расхода'!O22,IF('Текущие цены с учетом расхода'!O22&lt;0,'Текущие цены с учетом расхода'!O22,""))</f>
        <v>2530.28</v>
      </c>
      <c r="N322" s="2" t="s">
        <v>52</v>
      </c>
    </row>
    <row r="323" spans="3:14" ht="10.5" hidden="1">
      <c r="C323" s="12" t="s">
        <v>53</v>
      </c>
      <c r="F323" s="1">
        <v>63.75</v>
      </c>
      <c r="H323" s="10">
        <f>IF('Базовые цены с учетом расхода'!R22&gt;0,'Базовые цены с учетом расхода'!R22,IF('Базовые цены с учетом расхода'!R22&lt;0,'Базовые цены с учетом расхода'!R22,""))</f>
        <v>96.09</v>
      </c>
      <c r="J323" s="1">
        <v>63.75</v>
      </c>
      <c r="K323" s="10">
        <f>IF('Текущие цены с учетом расхода'!R22&gt;0,'Текущие цены с учетом расхода'!R22,IF('Текущие цены с учетом расхода'!R22&lt;0,'Текущие цены с учетом расхода'!R22,""))</f>
        <v>2519.4</v>
      </c>
      <c r="N323" s="2" t="s">
        <v>54</v>
      </c>
    </row>
    <row r="324" spans="3:14" ht="10.5" hidden="1">
      <c r="C324" s="12" t="s">
        <v>55</v>
      </c>
      <c r="F324" s="1">
        <v>63.75</v>
      </c>
      <c r="H324" s="10">
        <f>IF('Базовые цены с учетом расхода'!S22&gt;0,'Базовые цены с учетом расхода'!S22,IF('Базовые цены с учетом расхода'!S22&lt;0,'Базовые цены с учетом расхода'!S22,""))</f>
        <v>0.41</v>
      </c>
      <c r="J324" s="1">
        <v>63.75</v>
      </c>
      <c r="K324" s="10">
        <f>IF('Текущие цены с учетом расхода'!S22&gt;0,'Текущие цены с учетом расхода'!S22,IF('Текущие цены с учетом расхода'!S22&lt;0,'Текущие цены с учетом расхода'!S22,""))</f>
        <v>10.87</v>
      </c>
      <c r="N324" s="2" t="s">
        <v>56</v>
      </c>
    </row>
    <row r="325" spans="3:14" ht="10.5">
      <c r="C325" s="12" t="s">
        <v>57</v>
      </c>
      <c r="D325" s="2" t="s">
        <v>58</v>
      </c>
      <c r="E325" s="1">
        <f>'Базовые цены за единицу'!I22</f>
        <v>35.3395</v>
      </c>
      <c r="L325" s="1">
        <f>'Текущие цены с учетом расхода'!I22</f>
        <v>17.66975</v>
      </c>
      <c r="M325" s="1" t="s">
        <v>59</v>
      </c>
      <c r="N325" s="1" t="s">
        <v>59</v>
      </c>
    </row>
    <row r="326" spans="6:12" ht="10.5">
      <c r="F326" s="15"/>
      <c r="G326" s="15"/>
      <c r="H326" s="16">
        <f>ROUND(SUMIF(M305:M325,"=sum",H305:H325)+IF(H319="",'Базовые цены с учетом расхода'!N22,H319)+IF(H322="",'Базовые цены с учетом расхода'!O22,H322),2)</f>
        <v>3275.14</v>
      </c>
      <c r="I326" s="15"/>
      <c r="J326" s="15"/>
      <c r="K326" s="16">
        <f>ROUND(SUMIF(M305:M325,"=sum",K305:K325)+IF(K319="",'Текущие цены с учетом расхода'!N22,K319)+IF(K322="",'Текущие цены с учетом расхода'!O22,K322),2)</f>
        <v>19503.18</v>
      </c>
      <c r="L326" s="17">
        <f>ОКРУГЛВСЕ(SUMIF(N305:N325,"=Г",L305:L325),8)</f>
        <v>17.66975</v>
      </c>
    </row>
    <row r="327" spans="1:12" ht="52.5">
      <c r="A327" s="18" t="s">
        <v>159</v>
      </c>
      <c r="B327" s="19" t="s">
        <v>160</v>
      </c>
      <c r="C327" s="19" t="s">
        <v>161</v>
      </c>
      <c r="D327" s="18" t="s">
        <v>63</v>
      </c>
      <c r="E327" s="15">
        <v>0.5</v>
      </c>
      <c r="F327" s="20">
        <f>'Базовые цены за единицу без нач'!B17</f>
        <v>21928.41</v>
      </c>
      <c r="G327" s="15"/>
      <c r="H327" s="15"/>
      <c r="I327" s="21" t="s">
        <v>389</v>
      </c>
      <c r="J327" s="15"/>
      <c r="K327" s="15"/>
      <c r="L327" s="15"/>
    </row>
    <row r="328" spans="3:14" ht="10.5">
      <c r="C328" s="12" t="s">
        <v>29</v>
      </c>
      <c r="F328" s="10">
        <v>2713.07</v>
      </c>
      <c r="G328" s="3" t="s">
        <v>128</v>
      </c>
      <c r="H328" s="10">
        <f>'Базовые цены с учетом расхода'!C23</f>
        <v>1560.02</v>
      </c>
      <c r="J328" s="13">
        <v>26.22</v>
      </c>
      <c r="K328" s="10">
        <f>'Текущие цены с учетом расхода'!C23</f>
        <v>40903.6</v>
      </c>
      <c r="M328" s="1" t="s">
        <v>30</v>
      </c>
      <c r="N328" s="1" t="s">
        <v>31</v>
      </c>
    </row>
    <row r="329" spans="3:13" ht="10.5">
      <c r="C329" s="12" t="s">
        <v>35</v>
      </c>
      <c r="F329" s="10">
        <v>24.15</v>
      </c>
      <c r="G329" s="3" t="s">
        <v>129</v>
      </c>
      <c r="H329" s="10">
        <f>'Базовые цены с учетом расхода'!D23</f>
        <v>15.1</v>
      </c>
      <c r="J329" s="13">
        <v>19.77</v>
      </c>
      <c r="K329" s="10">
        <f>'Текущие цены с учетом расхода'!D23</f>
        <v>298.41</v>
      </c>
      <c r="M329" s="1" t="s">
        <v>30</v>
      </c>
    </row>
    <row r="330" spans="3:14" ht="10.5">
      <c r="C330" s="12" t="s">
        <v>36</v>
      </c>
      <c r="F330" s="10">
        <v>17.51</v>
      </c>
      <c r="G330" s="3" t="s">
        <v>129</v>
      </c>
      <c r="H330" s="10">
        <f>'Базовые цены с учетом расхода'!E23</f>
        <v>10.95</v>
      </c>
      <c r="J330" s="13">
        <v>26.22</v>
      </c>
      <c r="K330" s="10">
        <f>'Текущие цены с учетом расхода'!E23</f>
        <v>286.95</v>
      </c>
      <c r="N330" s="1" t="s">
        <v>64</v>
      </c>
    </row>
    <row r="331" spans="3:14" ht="10.5">
      <c r="C331" s="12" t="s">
        <v>130</v>
      </c>
      <c r="F331" s="10">
        <v>19191.19</v>
      </c>
      <c r="G331" s="3"/>
      <c r="H331" s="10">
        <f>'Базовые цены с учетом расхода'!F23</f>
        <v>9595.6</v>
      </c>
      <c r="J331" s="13">
        <v>3.5</v>
      </c>
      <c r="K331" s="10">
        <f>'Текущие цены с учетом расхода'!F23</f>
        <v>33584.58</v>
      </c>
      <c r="M331" s="1" t="s">
        <v>30</v>
      </c>
      <c r="N331" s="1" t="s">
        <v>41</v>
      </c>
    </row>
    <row r="332" spans="3:11" ht="10.5" hidden="1">
      <c r="C332" s="12" t="s">
        <v>29</v>
      </c>
      <c r="H332" s="1">
        <v>1560.02</v>
      </c>
      <c r="K332" s="1">
        <v>40903.6</v>
      </c>
    </row>
    <row r="333" spans="3:11" ht="10.5" hidden="1">
      <c r="C333" s="12" t="s">
        <v>35</v>
      </c>
      <c r="H333" s="1">
        <v>15.09</v>
      </c>
      <c r="K333" s="1">
        <v>298.4</v>
      </c>
    </row>
    <row r="334" spans="3:11" ht="10.5" hidden="1">
      <c r="C334" s="12" t="s">
        <v>36</v>
      </c>
      <c r="H334" s="1">
        <v>10.94</v>
      </c>
      <c r="K334" s="1">
        <v>286.95</v>
      </c>
    </row>
    <row r="335" spans="3:11" ht="10.5" hidden="1">
      <c r="C335" s="12" t="s">
        <v>37</v>
      </c>
      <c r="H335" s="1">
        <v>9595.59</v>
      </c>
      <c r="K335" s="1">
        <v>33584.58</v>
      </c>
    </row>
    <row r="336" ht="31.5" hidden="1">
      <c r="C336" s="12" t="s">
        <v>38</v>
      </c>
    </row>
    <row r="337" spans="3:14" ht="21" hidden="1">
      <c r="C337" s="12" t="s">
        <v>39</v>
      </c>
      <c r="F337" s="14"/>
      <c r="J337" s="14"/>
      <c r="M337" s="1" t="s">
        <v>40</v>
      </c>
      <c r="N337" s="1" t="s">
        <v>41</v>
      </c>
    </row>
    <row r="338" ht="21" hidden="1">
      <c r="C338" s="12" t="s">
        <v>42</v>
      </c>
    </row>
    <row r="339" ht="21" hidden="1">
      <c r="C339" s="12" t="s">
        <v>43</v>
      </c>
    </row>
    <row r="340" ht="21" hidden="1">
      <c r="C340" s="12" t="s">
        <v>44</v>
      </c>
    </row>
    <row r="341" spans="3:14" ht="10.5">
      <c r="C341" s="12" t="s">
        <v>45</v>
      </c>
      <c r="F341" s="1">
        <v>110.7</v>
      </c>
      <c r="H341" s="10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  <v>1739.06</v>
      </c>
      <c r="J341" s="1">
        <v>110.7</v>
      </c>
      <c r="K341" s="10">
        <f>IF('Текущие цены с учетом расхода'!N23&gt;0,'Текущие цены с учетом расхода'!N23,IF('Текущие цены с учетом расхода'!N23&lt;0,'Текущие цены с учетом расхода'!N23,""))</f>
        <v>45597.94</v>
      </c>
      <c r="N341" s="2" t="s">
        <v>46</v>
      </c>
    </row>
    <row r="342" spans="3:14" ht="10.5" hidden="1">
      <c r="C342" s="12" t="s">
        <v>47</v>
      </c>
      <c r="F342" s="1">
        <v>110.7</v>
      </c>
      <c r="H342" s="10">
        <f>IF('Базовые цены с учетом расхода'!P23&gt;0,'Базовые цены с учетом расхода'!P23,IF('Базовые цены с учетом расхода'!P23&lt;0,'Базовые цены с учетом расхода'!P23,""))</f>
        <v>1726.94</v>
      </c>
      <c r="J342" s="1">
        <v>110.7</v>
      </c>
      <c r="K342" s="10">
        <f>IF('Текущие цены с учетом расхода'!P23&gt;0,'Текущие цены с учетом расхода'!P23,IF('Текущие цены с учетом расхода'!P23&lt;0,'Текущие цены с учетом расхода'!P23,""))</f>
        <v>45280.29</v>
      </c>
      <c r="N342" s="2" t="s">
        <v>48</v>
      </c>
    </row>
    <row r="343" spans="3:14" ht="10.5" hidden="1">
      <c r="C343" s="12" t="s">
        <v>49</v>
      </c>
      <c r="F343" s="1">
        <v>110.7</v>
      </c>
      <c r="H343" s="10">
        <f>IF('Базовые цены с учетом расхода'!Q23&gt;0,'Базовые цены с учетом расхода'!Q23,IF('Базовые цены с учетом расхода'!Q23&lt;0,'Базовые цены с учетом расхода'!Q23,""))</f>
        <v>12.12</v>
      </c>
      <c r="J343" s="1">
        <v>110.7</v>
      </c>
      <c r="K343" s="10">
        <f>IF('Текущие цены с учетом расхода'!Q23&gt;0,'Текущие цены с учетом расхода'!Q23,IF('Текущие цены с учетом расхода'!Q23&lt;0,'Текущие цены с учетом расхода'!Q23,""))</f>
        <v>317.65</v>
      </c>
      <c r="N343" s="2" t="s">
        <v>50</v>
      </c>
    </row>
    <row r="344" spans="3:14" ht="21">
      <c r="C344" s="12" t="s">
        <v>51</v>
      </c>
      <c r="F344" s="1">
        <v>63.75</v>
      </c>
      <c r="H344" s="10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  <v>1001.49</v>
      </c>
      <c r="J344" s="1">
        <v>63.75</v>
      </c>
      <c r="K344" s="10">
        <f>IF('Текущие цены с учетом расхода'!O23&gt;0,'Текущие цены с учетом расхода'!O23,IF('Текущие цены с учетом расхода'!O23&lt;0,'Текущие цены с учетом расхода'!O23,""))</f>
        <v>26258.98</v>
      </c>
      <c r="N344" s="2" t="s">
        <v>52</v>
      </c>
    </row>
    <row r="345" spans="3:14" ht="10.5" hidden="1">
      <c r="C345" s="12" t="s">
        <v>53</v>
      </c>
      <c r="F345" s="1">
        <v>63.75</v>
      </c>
      <c r="H345" s="10">
        <f>IF('Базовые цены с учетом расхода'!R23&gt;0,'Базовые цены с учетом расхода'!R23,IF('Базовые цены с учетом расхода'!R23&lt;0,'Базовые цены с учетом расхода'!R23,""))</f>
        <v>994.51</v>
      </c>
      <c r="J345" s="1">
        <v>63.75</v>
      </c>
      <c r="K345" s="10">
        <f>IF('Текущие цены с учетом расхода'!R23&gt;0,'Текущие цены с учетом расхода'!R23,IF('Текущие цены с учетом расхода'!R23&lt;0,'Текущие цены с учетом расхода'!R23,""))</f>
        <v>26076.05</v>
      </c>
      <c r="N345" s="2" t="s">
        <v>54</v>
      </c>
    </row>
    <row r="346" spans="3:14" ht="10.5" hidden="1">
      <c r="C346" s="12" t="s">
        <v>55</v>
      </c>
      <c r="F346" s="1">
        <v>63.75</v>
      </c>
      <c r="H346" s="10">
        <f>IF('Базовые цены с учетом расхода'!S23&gt;0,'Базовые цены с учетом расхода'!S23,IF('Базовые цены с учетом расхода'!S23&lt;0,'Базовые цены с учетом расхода'!S23,""))</f>
        <v>6.98</v>
      </c>
      <c r="J346" s="1">
        <v>63.75</v>
      </c>
      <c r="K346" s="10">
        <f>IF('Текущие цены с учетом расхода'!S23&gt;0,'Текущие цены с учетом расхода'!S23,IF('Текущие цены с учетом расхода'!S23&lt;0,'Текущие цены с учетом расхода'!S23,""))</f>
        <v>182.93</v>
      </c>
      <c r="N346" s="2" t="s">
        <v>56</v>
      </c>
    </row>
    <row r="347" spans="3:14" ht="10.5">
      <c r="C347" s="12" t="s">
        <v>57</v>
      </c>
      <c r="D347" s="2" t="s">
        <v>58</v>
      </c>
      <c r="E347" s="1">
        <f>'Базовые цены за единицу'!I23</f>
        <v>356.983</v>
      </c>
      <c r="L347" s="1">
        <f>'Текущие цены с учетом расхода'!I23</f>
        <v>178.4915</v>
      </c>
      <c r="M347" s="1" t="s">
        <v>59</v>
      </c>
      <c r="N347" s="1" t="s">
        <v>59</v>
      </c>
    </row>
    <row r="348" spans="6:12" ht="10.5">
      <c r="F348" s="15"/>
      <c r="G348" s="15"/>
      <c r="H348" s="16">
        <f>ROUND(SUMIF(M327:M347,"=sum",H327:H347)+IF(H341="",'Базовые цены с учетом расхода'!N23,H341)+IF(H344="",'Базовые цены с учетом расхода'!O23,H344),2)</f>
        <v>13911.27</v>
      </c>
      <c r="I348" s="15"/>
      <c r="J348" s="15"/>
      <c r="K348" s="16">
        <f>ROUND(SUMIF(M327:M347,"=sum",K327:K347)+IF(K341="",'Текущие цены с учетом расхода'!N23,K341)+IF(K344="",'Текущие цены с учетом расхода'!O23,K344),2)</f>
        <v>146643.51</v>
      </c>
      <c r="L348" s="17">
        <f>ОКРУГЛВСЕ(SUMIF(N327:N347,"=Г",L327:L347),8)</f>
        <v>178.4915</v>
      </c>
    </row>
    <row r="349" spans="1:12" ht="52.5">
      <c r="A349" s="18" t="s">
        <v>162</v>
      </c>
      <c r="B349" s="19" t="s">
        <v>163</v>
      </c>
      <c r="C349" s="19" t="s">
        <v>164</v>
      </c>
      <c r="D349" s="18" t="s">
        <v>28</v>
      </c>
      <c r="E349" s="15">
        <v>0.3</v>
      </c>
      <c r="F349" s="20">
        <f>'Базовые цены за единицу без нач'!B18</f>
        <v>345.87</v>
      </c>
      <c r="G349" s="15"/>
      <c r="H349" s="15"/>
      <c r="I349" s="21" t="s">
        <v>390</v>
      </c>
      <c r="J349" s="15"/>
      <c r="K349" s="15"/>
      <c r="L349" s="15"/>
    </row>
    <row r="350" spans="3:14" ht="10.5">
      <c r="C350" s="12" t="s">
        <v>29</v>
      </c>
      <c r="F350" s="10">
        <v>226.53</v>
      </c>
      <c r="G350" s="3" t="s">
        <v>128</v>
      </c>
      <c r="H350" s="10">
        <f>'Базовые цены с учетом расхода'!C24</f>
        <v>78.15</v>
      </c>
      <c r="J350" s="13">
        <v>26.22</v>
      </c>
      <c r="K350" s="10">
        <f>'Текущие цены с учетом расхода'!C24</f>
        <v>2049.17</v>
      </c>
      <c r="M350" s="1" t="s">
        <v>30</v>
      </c>
      <c r="N350" s="1" t="s">
        <v>31</v>
      </c>
    </row>
    <row r="351" spans="3:13" ht="10.5">
      <c r="C351" s="12" t="s">
        <v>35</v>
      </c>
      <c r="F351" s="10">
        <v>5.5</v>
      </c>
      <c r="G351" s="3" t="s">
        <v>129</v>
      </c>
      <c r="H351" s="10">
        <f>'Базовые цены с учетом расхода'!D24</f>
        <v>2.06</v>
      </c>
      <c r="J351" s="13">
        <v>11.17</v>
      </c>
      <c r="K351" s="10">
        <f>'Текущие цены с учетом расхода'!D24</f>
        <v>23.04</v>
      </c>
      <c r="M351" s="1" t="s">
        <v>30</v>
      </c>
    </row>
    <row r="352" spans="3:14" ht="10.5">
      <c r="C352" s="12" t="s">
        <v>36</v>
      </c>
      <c r="F352" s="10">
        <v>1.38</v>
      </c>
      <c r="G352" s="3" t="s">
        <v>129</v>
      </c>
      <c r="H352" s="10">
        <f>'Базовые цены с учетом расхода'!E24</f>
        <v>0.52</v>
      </c>
      <c r="J352" s="13">
        <v>26.22</v>
      </c>
      <c r="K352" s="10">
        <f>'Текущие цены с учетом расхода'!E24</f>
        <v>13.57</v>
      </c>
      <c r="N352" s="1" t="s">
        <v>64</v>
      </c>
    </row>
    <row r="353" spans="3:14" ht="10.5">
      <c r="C353" s="12" t="s">
        <v>130</v>
      </c>
      <c r="F353" s="10">
        <v>113.84</v>
      </c>
      <c r="G353" s="3"/>
      <c r="H353" s="10">
        <f>'Базовые цены с учетом расхода'!F24</f>
        <v>34.15</v>
      </c>
      <c r="J353" s="13">
        <v>1</v>
      </c>
      <c r="K353" s="10">
        <f>'Текущие цены с учетом расхода'!F24</f>
        <v>34.15</v>
      </c>
      <c r="M353" s="1" t="s">
        <v>30</v>
      </c>
      <c r="N353" s="1" t="s">
        <v>41</v>
      </c>
    </row>
    <row r="354" spans="2:11" ht="21">
      <c r="B354" s="2" t="s">
        <v>165</v>
      </c>
      <c r="C354" s="2" t="s">
        <v>166</v>
      </c>
      <c r="D354" s="3" t="s">
        <v>127</v>
      </c>
      <c r="E354" s="1">
        <v>0.048</v>
      </c>
      <c r="F354" s="10">
        <v>711.5</v>
      </c>
      <c r="H354" s="10"/>
      <c r="K354" s="10">
        <v>34.15</v>
      </c>
    </row>
    <row r="355" spans="2:11" ht="31.5" hidden="1">
      <c r="B355" s="2" t="s">
        <v>167</v>
      </c>
      <c r="C355" s="2" t="s">
        <v>168</v>
      </c>
      <c r="D355" s="3" t="s">
        <v>169</v>
      </c>
      <c r="E355" s="1">
        <v>0</v>
      </c>
      <c r="F355" s="10">
        <v>71.4</v>
      </c>
      <c r="H355" s="10"/>
      <c r="K355" s="10"/>
    </row>
    <row r="356" spans="3:11" ht="10.5" hidden="1">
      <c r="C356" s="12" t="s">
        <v>29</v>
      </c>
      <c r="H356" s="1">
        <v>78.15</v>
      </c>
      <c r="K356" s="1">
        <v>2049.17</v>
      </c>
    </row>
    <row r="357" spans="3:11" ht="10.5" hidden="1">
      <c r="C357" s="12" t="s">
        <v>35</v>
      </c>
      <c r="H357" s="1">
        <v>2.06</v>
      </c>
      <c r="K357" s="1">
        <v>23.04</v>
      </c>
    </row>
    <row r="358" spans="3:11" ht="10.5" hidden="1">
      <c r="C358" s="12" t="s">
        <v>36</v>
      </c>
      <c r="H358" s="1">
        <v>0.52</v>
      </c>
      <c r="K358" s="1">
        <v>13.57</v>
      </c>
    </row>
    <row r="359" spans="3:11" ht="10.5" hidden="1">
      <c r="C359" s="12" t="s">
        <v>37</v>
      </c>
      <c r="H359" s="1">
        <v>34.15</v>
      </c>
      <c r="K359" s="1">
        <v>34.15</v>
      </c>
    </row>
    <row r="360" ht="31.5" hidden="1">
      <c r="C360" s="12" t="s">
        <v>38</v>
      </c>
    </row>
    <row r="361" spans="3:14" ht="21" hidden="1">
      <c r="C361" s="12" t="s">
        <v>39</v>
      </c>
      <c r="F361" s="14"/>
      <c r="J361" s="14"/>
      <c r="M361" s="1" t="s">
        <v>40</v>
      </c>
      <c r="N361" s="1" t="s">
        <v>41</v>
      </c>
    </row>
    <row r="362" ht="21" hidden="1">
      <c r="C362" s="12" t="s">
        <v>42</v>
      </c>
    </row>
    <row r="363" ht="21" hidden="1">
      <c r="C363" s="12" t="s">
        <v>43</v>
      </c>
    </row>
    <row r="364" ht="21" hidden="1">
      <c r="C364" s="12" t="s">
        <v>44</v>
      </c>
    </row>
    <row r="365" spans="3:14" ht="10.5">
      <c r="C365" s="12" t="s">
        <v>45</v>
      </c>
      <c r="F365" s="1">
        <v>110.7</v>
      </c>
      <c r="H365" s="10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  <v>87.09</v>
      </c>
      <c r="J365" s="1">
        <v>110.7</v>
      </c>
      <c r="K365" s="10">
        <f>IF('Текущие цены с учетом расхода'!N24&gt;0,'Текущие цены с учетом расхода'!N24,IF('Текущие цены с учетом расхода'!N24&lt;0,'Текущие цены с учетом расхода'!N24,""))</f>
        <v>2283.45</v>
      </c>
      <c r="N365" s="2" t="s">
        <v>46</v>
      </c>
    </row>
    <row r="366" spans="3:14" ht="10.5" hidden="1">
      <c r="C366" s="12" t="s">
        <v>47</v>
      </c>
      <c r="F366" s="1">
        <v>110.7</v>
      </c>
      <c r="H366" s="10">
        <f>IF('Базовые цены с учетом расхода'!P24&gt;0,'Базовые цены с учетом расхода'!P24,IF('Базовые цены с учетом расхода'!P24&lt;0,'Базовые цены с учетом расхода'!P24,""))</f>
        <v>86.52</v>
      </c>
      <c r="J366" s="1">
        <v>110.7</v>
      </c>
      <c r="K366" s="10">
        <f>IF('Текущие цены с учетом расхода'!P24&gt;0,'Текущие цены с учетом расхода'!P24,IF('Текущие цены с учетом расхода'!P24&lt;0,'Текущие цены с учетом расхода'!P24,""))</f>
        <v>2268.43</v>
      </c>
      <c r="N366" s="2" t="s">
        <v>48</v>
      </c>
    </row>
    <row r="367" spans="3:14" ht="10.5" hidden="1">
      <c r="C367" s="12" t="s">
        <v>49</v>
      </c>
      <c r="F367" s="1">
        <v>110.7</v>
      </c>
      <c r="H367" s="10">
        <f>IF('Базовые цены с учетом расхода'!Q24&gt;0,'Базовые цены с учетом расхода'!Q24,IF('Базовые цены с учетом расхода'!Q24&lt;0,'Базовые цены с учетом расхода'!Q24,""))</f>
        <v>0.57</v>
      </c>
      <c r="J367" s="1">
        <v>110.7</v>
      </c>
      <c r="K367" s="10">
        <f>IF('Текущие цены с учетом расхода'!Q24&gt;0,'Текущие цены с учетом расхода'!Q24,IF('Текущие цены с учетом расхода'!Q24&lt;0,'Текущие цены с учетом расхода'!Q24,""))</f>
        <v>15.02</v>
      </c>
      <c r="N367" s="2" t="s">
        <v>50</v>
      </c>
    </row>
    <row r="368" spans="3:14" ht="21">
      <c r="C368" s="12" t="s">
        <v>51</v>
      </c>
      <c r="F368" s="1">
        <v>63.75</v>
      </c>
      <c r="H368" s="10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  <v>50.15</v>
      </c>
      <c r="J368" s="1">
        <v>63.75</v>
      </c>
      <c r="K368" s="10">
        <f>IF('Текущие цены с учетом расхода'!O24&gt;0,'Текущие цены с учетом расхода'!O24,IF('Текущие цены с учетом расхода'!O24&lt;0,'Текущие цены с учетом расхода'!O24,""))</f>
        <v>1315</v>
      </c>
      <c r="N368" s="2" t="s">
        <v>52</v>
      </c>
    </row>
    <row r="369" spans="3:14" ht="10.5" hidden="1">
      <c r="C369" s="12" t="s">
        <v>53</v>
      </c>
      <c r="F369" s="1">
        <v>63.75</v>
      </c>
      <c r="H369" s="10">
        <f>IF('Базовые цены с учетом расхода'!R24&gt;0,'Базовые цены с учетом расхода'!R24,IF('Базовые цены с учетом расхода'!R24&lt;0,'Базовые цены с учетом расхода'!R24,""))</f>
        <v>49.82</v>
      </c>
      <c r="J369" s="1">
        <v>63.75</v>
      </c>
      <c r="K369" s="10">
        <f>IF('Текущие цены с учетом расхода'!R24&gt;0,'Текущие цены с учетом расхода'!R24,IF('Текущие цены с учетом расхода'!R24&lt;0,'Текущие цены с учетом расхода'!R24,""))</f>
        <v>1306.34</v>
      </c>
      <c r="N369" s="2" t="s">
        <v>54</v>
      </c>
    </row>
    <row r="370" spans="3:14" ht="10.5" hidden="1">
      <c r="C370" s="12" t="s">
        <v>55</v>
      </c>
      <c r="F370" s="1">
        <v>63.75</v>
      </c>
      <c r="H370" s="10">
        <f>IF('Базовые цены с учетом расхода'!S24&gt;0,'Базовые цены с учетом расхода'!S24,IF('Базовые цены с учетом расхода'!S24&lt;0,'Базовые цены с учетом расхода'!S24,""))</f>
        <v>0.33</v>
      </c>
      <c r="J370" s="1">
        <v>63.75</v>
      </c>
      <c r="K370" s="10">
        <f>IF('Текущие цены с учетом расхода'!S24&gt;0,'Текущие цены с учетом расхода'!S24,IF('Текущие цены с учетом расхода'!S24&lt;0,'Текущие цены с учетом расхода'!S24,""))</f>
        <v>8.65</v>
      </c>
      <c r="N370" s="2" t="s">
        <v>56</v>
      </c>
    </row>
    <row r="371" spans="3:14" ht="10.5">
      <c r="C371" s="12" t="s">
        <v>57</v>
      </c>
      <c r="D371" s="2" t="s">
        <v>58</v>
      </c>
      <c r="E371" s="1">
        <f>'Базовые цены за единицу'!I24</f>
        <v>27.393</v>
      </c>
      <c r="L371" s="1">
        <f>'Текущие цены с учетом расхода'!I24</f>
        <v>8.2179</v>
      </c>
      <c r="M371" s="1" t="s">
        <v>59</v>
      </c>
      <c r="N371" s="1" t="s">
        <v>59</v>
      </c>
    </row>
    <row r="372" spans="6:12" ht="10.5">
      <c r="F372" s="15"/>
      <c r="G372" s="15"/>
      <c r="H372" s="16">
        <f>ROUND(SUMIF(M349:M371,"=sum",H349:H371)+IF(H365="",'Базовые цены с учетом расхода'!N24,H365)+IF(H368="",'Базовые цены с учетом расхода'!O24,H368),2)</f>
        <v>251.6</v>
      </c>
      <c r="I372" s="15"/>
      <c r="J372" s="15"/>
      <c r="K372" s="16">
        <f>ROUND(SUMIF(M349:M371,"=sum",K349:K371)+IF(K365="",'Текущие цены с учетом расхода'!N24,K365)+IF(K368="",'Текущие цены с учетом расхода'!O24,K368),2)</f>
        <v>5704.81</v>
      </c>
      <c r="L372" s="17">
        <f>ОКРУГЛВСЕ(SUMIF(N349:N371,"=Г",L349:L371),8)</f>
        <v>8.2179</v>
      </c>
    </row>
    <row r="373" spans="1:12" ht="10.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</row>
    <row r="374" spans="2:24" ht="10.5" hidden="1">
      <c r="B374" s="22" t="s">
        <v>93</v>
      </c>
      <c r="H374" s="24">
        <f>'Базовые концовки'!F129</f>
        <v>0</v>
      </c>
      <c r="K374" s="24">
        <f>'Текущие концовки'!F129</f>
        <v>0</v>
      </c>
      <c r="R374" s="25">
        <f>'Текущие концовки'!G129</f>
        <v>0</v>
      </c>
      <c r="S374" s="25">
        <f>'Текущие концовки'!H129</f>
        <v>0</v>
      </c>
      <c r="T374" s="25">
        <f>'Текущие концовки'!I129</f>
        <v>0</v>
      </c>
      <c r="V374" s="5">
        <f>'Текущие концовки'!K129</f>
        <v>0</v>
      </c>
      <c r="W374" s="25">
        <f>'Текущие концовки'!L129</f>
        <v>0</v>
      </c>
      <c r="X374" s="25">
        <f>'Текущие концовки'!M129</f>
        <v>0</v>
      </c>
    </row>
    <row r="375" spans="2:24" ht="10.5" hidden="1">
      <c r="B375" s="22" t="s">
        <v>86</v>
      </c>
      <c r="H375" s="24">
        <f>'Базовые концовки'!F130</f>
        <v>0</v>
      </c>
      <c r="K375" s="24">
        <f>'Текущие концовки'!F130</f>
        <v>0</v>
      </c>
      <c r="R375" s="25"/>
      <c r="S375" s="25"/>
      <c r="T375" s="25"/>
      <c r="V375" s="5"/>
      <c r="W375" s="25"/>
      <c r="X375" s="25"/>
    </row>
    <row r="376" spans="2:24" ht="10.5" hidden="1">
      <c r="B376" s="22" t="s">
        <v>87</v>
      </c>
      <c r="H376" s="24">
        <f>'Базовые концовки'!F131</f>
        <v>0</v>
      </c>
      <c r="K376" s="24">
        <f>'Текущие концовки'!F131</f>
        <v>0</v>
      </c>
      <c r="R376" s="25"/>
      <c r="S376" s="25"/>
      <c r="T376" s="25"/>
      <c r="V376" s="5"/>
      <c r="W376" s="25"/>
      <c r="X376" s="25"/>
    </row>
    <row r="377" spans="2:24" ht="10.5" hidden="1">
      <c r="B377" s="22" t="s">
        <v>88</v>
      </c>
      <c r="H377" s="24">
        <f>'Базовые концовки'!F132</f>
        <v>0</v>
      </c>
      <c r="K377" s="24">
        <f>'Текущие концовки'!F132</f>
        <v>0</v>
      </c>
      <c r="R377" s="25"/>
      <c r="S377" s="25"/>
      <c r="T377" s="25"/>
      <c r="V377" s="5"/>
      <c r="W377" s="25"/>
      <c r="X377" s="25"/>
    </row>
    <row r="378" spans="2:24" ht="10.5" hidden="1">
      <c r="B378" s="22" t="s">
        <v>94</v>
      </c>
      <c r="H378" s="24">
        <f>'Базовые концовки'!F133</f>
        <v>0</v>
      </c>
      <c r="K378" s="24">
        <f>'Текущие концовки'!F133</f>
        <v>0</v>
      </c>
      <c r="R378" s="25"/>
      <c r="S378" s="25"/>
      <c r="T378" s="25"/>
      <c r="V378" s="5"/>
      <c r="W378" s="25"/>
      <c r="X378" s="25"/>
    </row>
    <row r="379" spans="2:24" ht="10.5" hidden="1">
      <c r="B379" s="22" t="s">
        <v>95</v>
      </c>
      <c r="H379" s="24">
        <f>'Базовые концовки'!F134</f>
        <v>0</v>
      </c>
      <c r="K379" s="24">
        <f>'Текущие концовки'!F134</f>
        <v>0</v>
      </c>
      <c r="R379" s="25">
        <f>'Текущие концовки'!G134</f>
        <v>0</v>
      </c>
      <c r="S379" s="25">
        <f>'Текущие концовки'!H134</f>
        <v>0</v>
      </c>
      <c r="T379" s="25">
        <f>'Текущие концовки'!I134</f>
        <v>0</v>
      </c>
      <c r="V379" s="5">
        <f>'Текущие концовки'!K134</f>
        <v>0</v>
      </c>
      <c r="W379" s="25">
        <f>'Текущие концовки'!L134</f>
        <v>0</v>
      </c>
      <c r="X379" s="25">
        <f>'Текущие концовки'!M134</f>
        <v>0</v>
      </c>
    </row>
    <row r="380" spans="2:24" ht="10.5" hidden="1">
      <c r="B380" s="22" t="s">
        <v>82</v>
      </c>
      <c r="H380" s="24"/>
      <c r="K380" s="24"/>
      <c r="R380" s="25"/>
      <c r="S380" s="25"/>
      <c r="T380" s="25"/>
      <c r="V380" s="5"/>
      <c r="W380" s="25"/>
      <c r="X380" s="25"/>
    </row>
    <row r="381" spans="2:24" ht="10.5" hidden="1">
      <c r="B381" s="22" t="s">
        <v>96</v>
      </c>
      <c r="H381" s="24">
        <f>'Базовые концовки'!F136</f>
        <v>0</v>
      </c>
      <c r="K381" s="24">
        <f>'Текущие концовки'!F136</f>
        <v>0</v>
      </c>
      <c r="R381" s="25">
        <f>'Текущие концовки'!G136</f>
        <v>0</v>
      </c>
      <c r="S381" s="25">
        <f>'Текущие концовки'!H136</f>
        <v>0</v>
      </c>
      <c r="T381" s="25">
        <f>'Текущие концовки'!I136</f>
        <v>0</v>
      </c>
      <c r="V381" s="5">
        <f>'Текущие концовки'!K136</f>
        <v>0</v>
      </c>
      <c r="W381" s="25">
        <f>'Текущие концовки'!L136</f>
        <v>0</v>
      </c>
      <c r="X381" s="25">
        <f>'Текущие концовки'!M136</f>
        <v>0</v>
      </c>
    </row>
    <row r="382" spans="2:24" ht="10.5" hidden="1">
      <c r="B382" s="22" t="s">
        <v>86</v>
      </c>
      <c r="H382" s="24">
        <f>'Базовые концовки'!F137</f>
        <v>0</v>
      </c>
      <c r="K382" s="24">
        <f>'Текущие концовки'!F137</f>
        <v>0</v>
      </c>
      <c r="R382" s="25"/>
      <c r="S382" s="25"/>
      <c r="T382" s="25"/>
      <c r="V382" s="5"/>
      <c r="W382" s="25"/>
      <c r="X382" s="25"/>
    </row>
    <row r="383" spans="2:24" ht="10.5" hidden="1">
      <c r="B383" s="22" t="s">
        <v>87</v>
      </c>
      <c r="H383" s="24">
        <f>'Базовые концовки'!F138</f>
        <v>0</v>
      </c>
      <c r="K383" s="24">
        <f>'Текущие концовки'!F138</f>
        <v>0</v>
      </c>
      <c r="R383" s="25"/>
      <c r="S383" s="25"/>
      <c r="T383" s="25"/>
      <c r="V383" s="5"/>
      <c r="W383" s="25"/>
      <c r="X383" s="25"/>
    </row>
    <row r="384" spans="2:24" ht="10.5" hidden="1">
      <c r="B384" s="22" t="s">
        <v>88</v>
      </c>
      <c r="H384" s="24">
        <f>'Базовые концовки'!F139</f>
        <v>0</v>
      </c>
      <c r="K384" s="24">
        <f>'Текущие концовки'!F139</f>
        <v>0</v>
      </c>
      <c r="R384" s="25"/>
      <c r="S384" s="25"/>
      <c r="T384" s="25"/>
      <c r="V384" s="5"/>
      <c r="W384" s="25"/>
      <c r="X384" s="25"/>
    </row>
    <row r="385" spans="2:24" ht="10.5" hidden="1">
      <c r="B385" s="22" t="s">
        <v>79</v>
      </c>
      <c r="H385" s="24">
        <f>'Базовые концовки'!F140</f>
        <v>0</v>
      </c>
      <c r="K385" s="24">
        <f>'Текущие концовки'!F140</f>
        <v>0</v>
      </c>
      <c r="R385" s="25"/>
      <c r="S385" s="25"/>
      <c r="T385" s="25"/>
      <c r="V385" s="5"/>
      <c r="W385" s="25"/>
      <c r="X385" s="25"/>
    </row>
    <row r="386" spans="2:24" ht="10.5" hidden="1">
      <c r="B386" s="22" t="s">
        <v>97</v>
      </c>
      <c r="H386" s="24">
        <f>'Базовые концовки'!F141</f>
        <v>0</v>
      </c>
      <c r="K386" s="24">
        <f>'Текущие концовки'!F141</f>
        <v>0</v>
      </c>
      <c r="R386" s="25"/>
      <c r="S386" s="25"/>
      <c r="T386" s="25"/>
      <c r="V386" s="5"/>
      <c r="W386" s="25"/>
      <c r="X386" s="25"/>
    </row>
    <row r="387" spans="2:24" ht="10.5" hidden="1">
      <c r="B387" s="22" t="s">
        <v>98</v>
      </c>
      <c r="H387" s="24">
        <f>'Базовые концовки'!F142</f>
        <v>0</v>
      </c>
      <c r="K387" s="24">
        <f>'Текущие концовки'!F142</f>
        <v>0</v>
      </c>
      <c r="R387" s="25">
        <f>'Текущие концовки'!G142</f>
        <v>0</v>
      </c>
      <c r="S387" s="25">
        <f>'Текущие концовки'!H142</f>
        <v>0</v>
      </c>
      <c r="T387" s="25">
        <f>'Текущие концовки'!I142</f>
        <v>0</v>
      </c>
      <c r="V387" s="5">
        <f>'Текущие концовки'!K142</f>
        <v>0</v>
      </c>
      <c r="W387" s="25">
        <f>'Текущие концовки'!L142</f>
        <v>0</v>
      </c>
      <c r="X387" s="25">
        <f>'Текущие концовки'!M142</f>
        <v>0</v>
      </c>
    </row>
    <row r="388" spans="2:24" ht="10.5" hidden="1">
      <c r="B388" s="22" t="s">
        <v>86</v>
      </c>
      <c r="H388" s="24">
        <f>'Базовые концовки'!F143</f>
        <v>0</v>
      </c>
      <c r="K388" s="24">
        <f>'Текущие концовки'!F143</f>
        <v>0</v>
      </c>
      <c r="R388" s="25"/>
      <c r="S388" s="25"/>
      <c r="T388" s="25"/>
      <c r="V388" s="5"/>
      <c r="W388" s="25"/>
      <c r="X388" s="25"/>
    </row>
    <row r="389" spans="2:24" ht="10.5" hidden="1">
      <c r="B389" s="22" t="s">
        <v>87</v>
      </c>
      <c r="H389" s="24">
        <f>'Базовые концовки'!F144</f>
        <v>0</v>
      </c>
      <c r="K389" s="24">
        <f>'Текущие концовки'!F144</f>
        <v>0</v>
      </c>
      <c r="R389" s="25"/>
      <c r="S389" s="25"/>
      <c r="T389" s="25"/>
      <c r="V389" s="5"/>
      <c r="W389" s="25"/>
      <c r="X389" s="25"/>
    </row>
    <row r="390" spans="2:24" ht="10.5" hidden="1">
      <c r="B390" s="22" t="s">
        <v>88</v>
      </c>
      <c r="H390" s="24">
        <f>'Базовые концовки'!F145</f>
        <v>0</v>
      </c>
      <c r="K390" s="24">
        <f>'Текущие концовки'!F145</f>
        <v>0</v>
      </c>
      <c r="R390" s="25"/>
      <c r="S390" s="25"/>
      <c r="T390" s="25"/>
      <c r="V390" s="5"/>
      <c r="W390" s="25"/>
      <c r="X390" s="25"/>
    </row>
    <row r="391" spans="2:24" ht="10.5" hidden="1">
      <c r="B391" s="22" t="s">
        <v>99</v>
      </c>
      <c r="H391" s="24">
        <f>'Базовые концовки'!F146</f>
        <v>0</v>
      </c>
      <c r="K391" s="24">
        <f>'Текущие концовки'!F146</f>
        <v>0</v>
      </c>
      <c r="R391" s="25"/>
      <c r="S391" s="25"/>
      <c r="T391" s="25"/>
      <c r="V391" s="5"/>
      <c r="W391" s="25"/>
      <c r="X391" s="25"/>
    </row>
    <row r="392" spans="2:24" ht="10.5" hidden="1">
      <c r="B392" s="22" t="s">
        <v>100</v>
      </c>
      <c r="H392" s="24">
        <f>'Базовые концовки'!F147</f>
        <v>0</v>
      </c>
      <c r="K392" s="24">
        <f>'Текущие концовки'!F147</f>
        <v>0</v>
      </c>
      <c r="R392" s="25">
        <f>'Текущие концовки'!G147</f>
        <v>0</v>
      </c>
      <c r="S392" s="25">
        <f>'Текущие концовки'!H147</f>
        <v>0</v>
      </c>
      <c r="T392" s="25">
        <f>'Текущие концовки'!I147</f>
        <v>0</v>
      </c>
      <c r="V392" s="5">
        <f>'Текущие концовки'!K147</f>
        <v>0</v>
      </c>
      <c r="W392" s="25">
        <f>'Текущие концовки'!L147</f>
        <v>0</v>
      </c>
      <c r="X392" s="25">
        <f>'Текущие концовки'!M147</f>
        <v>0</v>
      </c>
    </row>
    <row r="393" spans="2:24" ht="10.5" hidden="1">
      <c r="B393" s="22" t="s">
        <v>86</v>
      </c>
      <c r="H393" s="24">
        <f>'Базовые концовки'!F148</f>
        <v>0</v>
      </c>
      <c r="K393" s="24">
        <f>'Текущие концовки'!F148</f>
        <v>0</v>
      </c>
      <c r="R393" s="25"/>
      <c r="S393" s="25"/>
      <c r="T393" s="25"/>
      <c r="V393" s="5"/>
      <c r="W393" s="25"/>
      <c r="X393" s="25"/>
    </row>
    <row r="394" spans="2:24" ht="10.5" hidden="1">
      <c r="B394" s="22" t="s">
        <v>87</v>
      </c>
      <c r="H394" s="24">
        <f>'Базовые концовки'!F149</f>
        <v>0</v>
      </c>
      <c r="K394" s="24">
        <f>'Текущие концовки'!F149</f>
        <v>0</v>
      </c>
      <c r="R394" s="25"/>
      <c r="S394" s="25"/>
      <c r="T394" s="25"/>
      <c r="V394" s="5"/>
      <c r="W394" s="25"/>
      <c r="X394" s="25"/>
    </row>
    <row r="395" spans="2:24" ht="10.5" hidden="1">
      <c r="B395" s="22" t="s">
        <v>88</v>
      </c>
      <c r="H395" s="24">
        <f>'Базовые концовки'!F150</f>
        <v>0</v>
      </c>
      <c r="K395" s="24">
        <f>'Текущие концовки'!F150</f>
        <v>0</v>
      </c>
      <c r="R395" s="25"/>
      <c r="S395" s="25"/>
      <c r="T395" s="25"/>
      <c r="V395" s="5"/>
      <c r="W395" s="25"/>
      <c r="X395" s="25"/>
    </row>
    <row r="396" spans="2:24" ht="10.5" hidden="1">
      <c r="B396" s="22" t="s">
        <v>101</v>
      </c>
      <c r="H396" s="24">
        <f>'Базовые концовки'!F151</f>
        <v>0</v>
      </c>
      <c r="K396" s="24">
        <f>'Текущие концовки'!F151</f>
        <v>0</v>
      </c>
      <c r="R396" s="25"/>
      <c r="S396" s="25"/>
      <c r="T396" s="25"/>
      <c r="V396" s="5"/>
      <c r="W396" s="25"/>
      <c r="X396" s="25"/>
    </row>
    <row r="397" spans="2:24" ht="10.5" hidden="1">
      <c r="B397" s="22" t="s">
        <v>102</v>
      </c>
      <c r="H397" s="24">
        <f>'Базовые концовки'!F152</f>
        <v>0</v>
      </c>
      <c r="K397" s="24">
        <f>'Текущие концовки'!F152</f>
        <v>0</v>
      </c>
      <c r="R397" s="25">
        <f>'Текущие концовки'!G152</f>
        <v>0</v>
      </c>
      <c r="S397" s="25">
        <f>'Текущие концовки'!H152</f>
        <v>0</v>
      </c>
      <c r="T397" s="25">
        <f>'Текущие концовки'!I152</f>
        <v>0</v>
      </c>
      <c r="V397" s="5">
        <f>'Текущие концовки'!K152</f>
        <v>0</v>
      </c>
      <c r="W397" s="25">
        <f>'Текущие концовки'!L152</f>
        <v>0</v>
      </c>
      <c r="X397" s="25">
        <f>'Текущие концовки'!M152</f>
        <v>0</v>
      </c>
    </row>
    <row r="398" spans="2:24" ht="10.5" hidden="1">
      <c r="B398" s="22" t="s">
        <v>82</v>
      </c>
      <c r="H398" s="24"/>
      <c r="K398" s="24"/>
      <c r="R398" s="25"/>
      <c r="S398" s="25"/>
      <c r="T398" s="25"/>
      <c r="V398" s="5"/>
      <c r="W398" s="25"/>
      <c r="X398" s="25"/>
    </row>
    <row r="399" spans="2:24" ht="10.5" hidden="1">
      <c r="B399" s="22" t="s">
        <v>91</v>
      </c>
      <c r="H399" s="24">
        <f>'Базовые концовки'!F154</f>
        <v>0</v>
      </c>
      <c r="K399" s="24">
        <f>'Текущие концовки'!F154</f>
        <v>0</v>
      </c>
      <c r="R399" s="25"/>
      <c r="S399" s="25"/>
      <c r="T399" s="25"/>
      <c r="V399" s="5"/>
      <c r="W399" s="25"/>
      <c r="X399" s="25"/>
    </row>
    <row r="400" spans="2:24" ht="10.5" hidden="1">
      <c r="B400" s="22" t="s">
        <v>86</v>
      </c>
      <c r="H400" s="24">
        <f>'Базовые концовки'!F155</f>
        <v>0</v>
      </c>
      <c r="K400" s="24">
        <f>'Текущие концовки'!F155</f>
        <v>0</v>
      </c>
      <c r="R400" s="25"/>
      <c r="S400" s="25"/>
      <c r="T400" s="25"/>
      <c r="V400" s="5"/>
      <c r="W400" s="25"/>
      <c r="X400" s="25"/>
    </row>
    <row r="401" spans="2:24" ht="10.5" hidden="1">
      <c r="B401" s="22" t="s">
        <v>87</v>
      </c>
      <c r="H401" s="24">
        <f>'Базовые концовки'!F156</f>
        <v>0</v>
      </c>
      <c r="K401" s="24">
        <f>'Текущие концовки'!F156</f>
        <v>0</v>
      </c>
      <c r="R401" s="25"/>
      <c r="S401" s="25"/>
      <c r="T401" s="25"/>
      <c r="V401" s="5"/>
      <c r="W401" s="25"/>
      <c r="X401" s="25"/>
    </row>
    <row r="402" spans="2:24" ht="10.5" hidden="1">
      <c r="B402" s="22" t="s">
        <v>88</v>
      </c>
      <c r="H402" s="24">
        <f>'Базовые концовки'!F157</f>
        <v>0</v>
      </c>
      <c r="K402" s="24">
        <f>'Текущие концовки'!F157</f>
        <v>0</v>
      </c>
      <c r="R402" s="25"/>
      <c r="S402" s="25"/>
      <c r="T402" s="25"/>
      <c r="V402" s="5"/>
      <c r="W402" s="25"/>
      <c r="X402" s="25"/>
    </row>
    <row r="403" spans="2:24" ht="10.5" hidden="1">
      <c r="B403" s="22" t="s">
        <v>103</v>
      </c>
      <c r="H403" s="24">
        <f>'Базовые концовки'!F158</f>
        <v>0</v>
      </c>
      <c r="K403" s="24">
        <f>'Текущие концовки'!F158</f>
        <v>0</v>
      </c>
      <c r="R403" s="25"/>
      <c r="S403" s="25"/>
      <c r="T403" s="25"/>
      <c r="V403" s="5"/>
      <c r="W403" s="25"/>
      <c r="X403" s="25"/>
    </row>
    <row r="404" spans="2:24" ht="10.5" hidden="1">
      <c r="B404" s="22" t="s">
        <v>104</v>
      </c>
      <c r="H404" s="24">
        <f>'Базовые концовки'!F159</f>
        <v>0</v>
      </c>
      <c r="K404" s="24">
        <f>'Текущие концовки'!F159</f>
        <v>0</v>
      </c>
      <c r="R404" s="25">
        <f>'Текущие концовки'!G159</f>
        <v>0</v>
      </c>
      <c r="S404" s="25">
        <f>'Текущие концовки'!H159</f>
        <v>0</v>
      </c>
      <c r="T404" s="25">
        <f>'Текущие концовки'!I159</f>
        <v>0</v>
      </c>
      <c r="V404" s="5">
        <f>'Текущие концовки'!K159</f>
        <v>0</v>
      </c>
      <c r="W404" s="25">
        <f>'Текущие концовки'!L159</f>
        <v>0</v>
      </c>
      <c r="X404" s="25">
        <f>'Текущие концовки'!M159</f>
        <v>0</v>
      </c>
    </row>
    <row r="405" spans="2:24" ht="10.5" hidden="1">
      <c r="B405" s="22" t="s">
        <v>105</v>
      </c>
      <c r="H405" s="24">
        <f>'Базовые концовки'!F160</f>
        <v>0</v>
      </c>
      <c r="K405" s="24">
        <f>'Текущие концовки'!F160</f>
        <v>0</v>
      </c>
      <c r="R405" s="25"/>
      <c r="S405" s="25"/>
      <c r="T405" s="25"/>
      <c r="V405" s="5"/>
      <c r="W405" s="25"/>
      <c r="X405" s="25"/>
    </row>
    <row r="406" spans="2:24" ht="10.5" hidden="1">
      <c r="B406" s="22" t="s">
        <v>106</v>
      </c>
      <c r="H406" s="24">
        <f>'Базовые концовки'!F161</f>
        <v>0</v>
      </c>
      <c r="K406" s="24">
        <f>'Текущие концовки'!F161</f>
        <v>0</v>
      </c>
      <c r="R406" s="25"/>
      <c r="S406" s="25"/>
      <c r="T406" s="25"/>
      <c r="V406" s="5"/>
      <c r="W406" s="25"/>
      <c r="X406" s="25"/>
    </row>
    <row r="407" spans="2:24" ht="10.5" hidden="1">
      <c r="B407" s="22" t="s">
        <v>87</v>
      </c>
      <c r="H407" s="24">
        <f>'Базовые концовки'!F162</f>
        <v>0</v>
      </c>
      <c r="K407" s="24">
        <f>'Текущие концовки'!F162</f>
        <v>0</v>
      </c>
      <c r="R407" s="25"/>
      <c r="S407" s="25"/>
      <c r="T407" s="25"/>
      <c r="V407" s="5"/>
      <c r="W407" s="25"/>
      <c r="X407" s="25"/>
    </row>
    <row r="408" spans="2:24" ht="10.5" hidden="1">
      <c r="B408" s="22" t="s">
        <v>88</v>
      </c>
      <c r="H408" s="24">
        <f>'Базовые концовки'!F163</f>
        <v>0</v>
      </c>
      <c r="K408" s="24">
        <f>'Текущие концовки'!F163</f>
        <v>0</v>
      </c>
      <c r="R408" s="25"/>
      <c r="S408" s="25"/>
      <c r="T408" s="25"/>
      <c r="V408" s="5"/>
      <c r="W408" s="25"/>
      <c r="X408" s="25"/>
    </row>
    <row r="409" spans="2:24" ht="10.5" hidden="1">
      <c r="B409" s="22" t="s">
        <v>107</v>
      </c>
      <c r="H409" s="24">
        <f>'Базовые концовки'!F164</f>
        <v>0</v>
      </c>
      <c r="K409" s="24">
        <f>'Текущие концовки'!F164</f>
        <v>0</v>
      </c>
      <c r="R409" s="25"/>
      <c r="S409" s="25"/>
      <c r="T409" s="25"/>
      <c r="V409" s="5"/>
      <c r="W409" s="25"/>
      <c r="X409" s="25"/>
    </row>
    <row r="410" spans="2:24" ht="10.5" hidden="1">
      <c r="B410" s="22" t="s">
        <v>108</v>
      </c>
      <c r="H410" s="24">
        <f>'Базовые концовки'!F165</f>
        <v>0</v>
      </c>
      <c r="K410" s="24">
        <f>'Текущие концовки'!F165</f>
        <v>0</v>
      </c>
      <c r="R410" s="25">
        <f>'Текущие концовки'!G165</f>
        <v>0</v>
      </c>
      <c r="S410" s="25">
        <f>'Текущие концовки'!H165</f>
        <v>0</v>
      </c>
      <c r="T410" s="25">
        <f>'Текущие концовки'!I165</f>
        <v>0</v>
      </c>
      <c r="V410" s="5">
        <f>'Текущие концовки'!K165</f>
        <v>0</v>
      </c>
      <c r="W410" s="25">
        <f>'Текущие концовки'!L165</f>
        <v>0</v>
      </c>
      <c r="X410" s="25">
        <f>'Текущие концовки'!M165</f>
        <v>0</v>
      </c>
    </row>
    <row r="411" spans="2:24" ht="10.5" hidden="1">
      <c r="B411" s="22" t="s">
        <v>87</v>
      </c>
      <c r="H411" s="24">
        <f>'Базовые концовки'!F166</f>
        <v>0</v>
      </c>
      <c r="K411" s="24">
        <f>'Текущие концовки'!F166</f>
        <v>0</v>
      </c>
      <c r="R411" s="25"/>
      <c r="S411" s="25"/>
      <c r="T411" s="25"/>
      <c r="V411" s="5"/>
      <c r="W411" s="25"/>
      <c r="X411" s="25"/>
    </row>
    <row r="412" spans="2:24" ht="10.5" hidden="1">
      <c r="B412" s="22" t="s">
        <v>88</v>
      </c>
      <c r="H412" s="24">
        <f>'Базовые концовки'!F167</f>
        <v>0</v>
      </c>
      <c r="K412" s="24">
        <f>'Текущие концовки'!F167</f>
        <v>0</v>
      </c>
      <c r="R412" s="25"/>
      <c r="S412" s="25"/>
      <c r="T412" s="25"/>
      <c r="V412" s="5"/>
      <c r="W412" s="25"/>
      <c r="X412" s="25"/>
    </row>
    <row r="413" spans="2:24" ht="10.5" hidden="1">
      <c r="B413" s="22" t="s">
        <v>109</v>
      </c>
      <c r="H413" s="24">
        <f>'Базовые концовки'!F168</f>
        <v>0</v>
      </c>
      <c r="K413" s="24">
        <f>'Текущие концовки'!F168</f>
        <v>0</v>
      </c>
      <c r="R413" s="25"/>
      <c r="S413" s="25"/>
      <c r="T413" s="25"/>
      <c r="V413" s="5"/>
      <c r="W413" s="25"/>
      <c r="X413" s="25"/>
    </row>
    <row r="414" spans="2:24" ht="10.5" hidden="1">
      <c r="B414" s="22" t="s">
        <v>110</v>
      </c>
      <c r="H414" s="24">
        <f>'Базовые концовки'!F169</f>
        <v>0</v>
      </c>
      <c r="K414" s="24">
        <f>'Текущие концовки'!F169</f>
        <v>0</v>
      </c>
      <c r="R414" s="25">
        <f>'Текущие концовки'!G169</f>
        <v>0</v>
      </c>
      <c r="S414" s="25">
        <f>'Текущие концовки'!H169</f>
        <v>0</v>
      </c>
      <c r="T414" s="25">
        <f>'Текущие концовки'!I169</f>
        <v>0</v>
      </c>
      <c r="V414" s="5">
        <f>'Текущие концовки'!K169</f>
        <v>0</v>
      </c>
      <c r="W414" s="25">
        <f>'Текущие концовки'!L169</f>
        <v>0</v>
      </c>
      <c r="X414" s="25">
        <f>'Текущие концовки'!M169</f>
        <v>0</v>
      </c>
    </row>
    <row r="415" spans="2:24" ht="10.5" hidden="1">
      <c r="B415" s="22" t="s">
        <v>86</v>
      </c>
      <c r="H415" s="24">
        <f>'Базовые концовки'!F170</f>
        <v>0</v>
      </c>
      <c r="K415" s="24">
        <f>'Текущие концовки'!F170</f>
        <v>0</v>
      </c>
      <c r="R415" s="25"/>
      <c r="S415" s="25"/>
      <c r="T415" s="25"/>
      <c r="V415" s="5"/>
      <c r="W415" s="25"/>
      <c r="X415" s="25"/>
    </row>
    <row r="416" spans="2:24" ht="10.5" hidden="1">
      <c r="B416" s="22" t="s">
        <v>87</v>
      </c>
      <c r="H416" s="24">
        <f>'Базовые концовки'!F171</f>
        <v>0</v>
      </c>
      <c r="K416" s="24">
        <f>'Текущие концовки'!F171</f>
        <v>0</v>
      </c>
      <c r="R416" s="25"/>
      <c r="S416" s="25"/>
      <c r="T416" s="25"/>
      <c r="V416" s="5"/>
      <c r="W416" s="25"/>
      <c r="X416" s="25"/>
    </row>
    <row r="417" spans="2:24" ht="10.5" hidden="1">
      <c r="B417" s="22" t="s">
        <v>88</v>
      </c>
      <c r="H417" s="24">
        <f>'Базовые концовки'!F172</f>
        <v>0</v>
      </c>
      <c r="K417" s="24">
        <f>'Текущие концовки'!F172</f>
        <v>0</v>
      </c>
      <c r="R417" s="25"/>
      <c r="S417" s="25"/>
      <c r="T417" s="25"/>
      <c r="V417" s="5"/>
      <c r="W417" s="25"/>
      <c r="X417" s="25"/>
    </row>
    <row r="418" spans="2:24" ht="10.5" hidden="1">
      <c r="B418" s="22" t="s">
        <v>111</v>
      </c>
      <c r="H418" s="24">
        <f>'Базовые концовки'!F173</f>
        <v>0</v>
      </c>
      <c r="K418" s="24">
        <f>'Текущие концовки'!F173</f>
        <v>0</v>
      </c>
      <c r="R418" s="25"/>
      <c r="S418" s="25"/>
      <c r="T418" s="25"/>
      <c r="V418" s="5"/>
      <c r="W418" s="25"/>
      <c r="X418" s="25"/>
    </row>
    <row r="419" spans="2:24" ht="10.5" hidden="1">
      <c r="B419" s="22" t="s">
        <v>112</v>
      </c>
      <c r="H419" s="24">
        <f>'Базовые концовки'!F174</f>
        <v>0</v>
      </c>
      <c r="K419" s="24">
        <f>'Текущие концовки'!F174</f>
        <v>0</v>
      </c>
      <c r="R419" s="25">
        <f>'Текущие концовки'!G174</f>
        <v>0</v>
      </c>
      <c r="S419" s="25">
        <f>'Текущие концовки'!H174</f>
        <v>0</v>
      </c>
      <c r="T419" s="25">
        <f>'Текущие концовки'!I174</f>
        <v>0</v>
      </c>
      <c r="V419" s="5">
        <f>'Текущие концовки'!K174</f>
        <v>0</v>
      </c>
      <c r="W419" s="25">
        <f>'Текущие концовки'!L174</f>
        <v>0</v>
      </c>
      <c r="X419" s="25">
        <f>'Текущие концовки'!M174</f>
        <v>0</v>
      </c>
    </row>
    <row r="420" spans="2:24" ht="10.5" hidden="1">
      <c r="B420" s="22" t="s">
        <v>86</v>
      </c>
      <c r="H420" s="24">
        <f>'Базовые концовки'!F175</f>
        <v>0</v>
      </c>
      <c r="K420" s="24">
        <f>'Текущие концовки'!F175</f>
        <v>0</v>
      </c>
      <c r="R420" s="25"/>
      <c r="S420" s="25"/>
      <c r="T420" s="25"/>
      <c r="V420" s="5"/>
      <c r="W420" s="25"/>
      <c r="X420" s="25"/>
    </row>
    <row r="421" spans="2:24" ht="10.5">
      <c r="B421" s="22" t="s">
        <v>391</v>
      </c>
      <c r="E421" s="23"/>
      <c r="H421" s="24">
        <f>'Базовые концовки'!F176</f>
        <v>22391.21</v>
      </c>
      <c r="K421" s="24">
        <f>'Текущие концовки'!F176</f>
        <v>233598.11</v>
      </c>
      <c r="R421" s="25">
        <f>'Текущие концовки'!G176</f>
        <v>0</v>
      </c>
      <c r="S421" s="25">
        <f>'Текущие концовки'!H176</f>
        <v>0</v>
      </c>
      <c r="T421" s="25">
        <f>'Текущие концовки'!I176</f>
        <v>0</v>
      </c>
      <c r="V421" s="5">
        <f>'Текущие концовки'!K176</f>
        <v>0</v>
      </c>
      <c r="W421" s="25">
        <f>'Текущие концовки'!L176</f>
        <v>0</v>
      </c>
      <c r="X421" s="25">
        <f>'Текущие концовки'!M176</f>
        <v>0</v>
      </c>
    </row>
    <row r="422" spans="2:24" ht="10.5" hidden="1">
      <c r="B422" s="22" t="s">
        <v>113</v>
      </c>
      <c r="H422" s="24">
        <f>'Базовые концовки'!F177</f>
        <v>0</v>
      </c>
      <c r="K422" s="24">
        <f>'Текущие концовки'!F177</f>
        <v>0</v>
      </c>
      <c r="R422" s="25"/>
      <c r="S422" s="25"/>
      <c r="T422" s="25"/>
      <c r="V422" s="5"/>
      <c r="W422" s="25"/>
      <c r="X422" s="25"/>
    </row>
    <row r="423" spans="2:24" ht="10.5">
      <c r="B423" s="22" t="s">
        <v>114</v>
      </c>
      <c r="E423" s="23"/>
      <c r="H423" s="24">
        <f>'Базовые концовки'!F178</f>
        <v>2692.65</v>
      </c>
      <c r="K423" s="24">
        <f>'Текущие концовки'!F178</f>
        <v>70599.54</v>
      </c>
      <c r="R423" s="25"/>
      <c r="S423" s="25"/>
      <c r="T423" s="25"/>
      <c r="V423" s="5"/>
      <c r="W423" s="25"/>
      <c r="X423" s="25"/>
    </row>
    <row r="424" spans="2:24" ht="10.5">
      <c r="B424" s="22" t="s">
        <v>115</v>
      </c>
      <c r="E424" s="23"/>
      <c r="H424" s="24">
        <f>'Базовые концовки'!F179</f>
        <v>1550.69</v>
      </c>
      <c r="K424" s="24">
        <f>'Текущие концовки'!F179</f>
        <v>40658.39</v>
      </c>
      <c r="R424" s="25"/>
      <c r="S424" s="25"/>
      <c r="T424" s="25"/>
      <c r="V424" s="5"/>
      <c r="W424" s="25"/>
      <c r="X424" s="25"/>
    </row>
    <row r="425" spans="2:24" ht="10.5" hidden="1">
      <c r="B425" s="22" t="s">
        <v>38</v>
      </c>
      <c r="H425" s="24">
        <f>'Базовые концовки'!F180</f>
        <v>0</v>
      </c>
      <c r="K425" s="24">
        <f>'Текущие концовки'!F180</f>
        <v>0</v>
      </c>
      <c r="R425" s="25"/>
      <c r="S425" s="25"/>
      <c r="T425" s="25"/>
      <c r="V425" s="5"/>
      <c r="W425" s="25">
        <f>'Текущие концовки'!L180</f>
        <v>0</v>
      </c>
      <c r="X425" s="25"/>
    </row>
    <row r="426" spans="2:24" ht="10.5" hidden="1">
      <c r="B426" s="22" t="s">
        <v>116</v>
      </c>
      <c r="H426" s="24">
        <f>'Базовые концовки'!F181</f>
        <v>0</v>
      </c>
      <c r="K426" s="24">
        <f>'Текущие концовки'!F181</f>
        <v>0</v>
      </c>
      <c r="R426" s="25"/>
      <c r="S426" s="25"/>
      <c r="T426" s="25"/>
      <c r="V426" s="5"/>
      <c r="W426" s="25">
        <f>'Текущие концовки'!L181</f>
        <v>0</v>
      </c>
      <c r="X426" s="25"/>
    </row>
    <row r="427" spans="2:24" ht="10.5" hidden="1">
      <c r="B427" s="22" t="s">
        <v>117</v>
      </c>
      <c r="E427" s="23"/>
      <c r="H427" s="24">
        <f>'Базовые концовки'!F182</f>
        <v>2361.42</v>
      </c>
      <c r="K427" s="24">
        <f>'Текущие концовки'!F182</f>
        <v>61915.31</v>
      </c>
      <c r="R427" s="25"/>
      <c r="S427" s="25"/>
      <c r="T427" s="25"/>
      <c r="V427" s="5"/>
      <c r="W427" s="25"/>
      <c r="X427" s="25"/>
    </row>
    <row r="428" spans="2:24" ht="10.5" hidden="1">
      <c r="B428" s="22" t="s">
        <v>118</v>
      </c>
      <c r="E428" s="23"/>
      <c r="H428" s="24">
        <f>'Базовые концовки'!F183</f>
        <v>71.94</v>
      </c>
      <c r="K428" s="24">
        <f>'Текущие концовки'!F183</f>
        <v>1886.08</v>
      </c>
      <c r="R428" s="25"/>
      <c r="S428" s="25"/>
      <c r="T428" s="25"/>
      <c r="V428" s="5"/>
      <c r="W428" s="25"/>
      <c r="X428" s="25"/>
    </row>
    <row r="429" spans="2:24" ht="10.5" hidden="1">
      <c r="B429" s="22" t="s">
        <v>119</v>
      </c>
      <c r="E429" s="23"/>
      <c r="H429" s="24">
        <f>'Базовые концовки'!F184</f>
        <v>2433.36</v>
      </c>
      <c r="K429" s="24">
        <f>'Текущие концовки'!F184</f>
        <v>63801.39</v>
      </c>
      <c r="R429" s="25"/>
      <c r="S429" s="25"/>
      <c r="T429" s="25"/>
      <c r="V429" s="5"/>
      <c r="W429" s="25"/>
      <c r="X429" s="25"/>
    </row>
    <row r="430" spans="2:24" ht="10.5" hidden="1">
      <c r="B430" s="22" t="s">
        <v>120</v>
      </c>
      <c r="E430" s="23"/>
      <c r="H430" s="5">
        <f>'Базовые концовки'!J185</f>
        <v>268.566975</v>
      </c>
      <c r="K430" s="5">
        <f>'Текущие концовки'!J185</f>
        <v>268.566975</v>
      </c>
      <c r="R430" s="25"/>
      <c r="S430" s="25"/>
      <c r="T430" s="25"/>
      <c r="V430" s="5"/>
      <c r="W430" s="25"/>
      <c r="X430" s="25"/>
    </row>
    <row r="431" spans="2:24" ht="10.5" hidden="1">
      <c r="B431" s="22" t="s">
        <v>121</v>
      </c>
      <c r="E431" s="23"/>
      <c r="H431" s="5">
        <f>'Базовые концовки'!J186</f>
        <v>6.304375</v>
      </c>
      <c r="K431" s="5">
        <f>'Текущие концовки'!J186</f>
        <v>6.304375</v>
      </c>
      <c r="R431" s="25"/>
      <c r="S431" s="25"/>
      <c r="T431" s="25"/>
      <c r="V431" s="5"/>
      <c r="W431" s="25"/>
      <c r="X431" s="25"/>
    </row>
    <row r="432" spans="2:24" ht="10.5" hidden="1">
      <c r="B432" s="22" t="s">
        <v>122</v>
      </c>
      <c r="E432" s="23"/>
      <c r="H432" s="5">
        <f>'Базовые концовки'!J187</f>
        <v>274.87135</v>
      </c>
      <c r="K432" s="5">
        <f>'Текущие концовки'!J187</f>
        <v>274.87135</v>
      </c>
      <c r="R432" s="25"/>
      <c r="S432" s="25"/>
      <c r="T432" s="25"/>
      <c r="V432" s="5"/>
      <c r="W432" s="25"/>
      <c r="X432" s="25"/>
    </row>
    <row r="434" spans="2:24" ht="10.5" hidden="1">
      <c r="B434" s="22" t="s">
        <v>93</v>
      </c>
      <c r="H434" s="24">
        <f>'Базовые концовки'!F217</f>
        <v>0</v>
      </c>
      <c r="K434" s="24">
        <f>'Текущие концовки'!F217</f>
        <v>0</v>
      </c>
      <c r="R434" s="25">
        <f>'Текущие концовки'!G217</f>
        <v>0</v>
      </c>
      <c r="S434" s="25">
        <f>'Текущие концовки'!H217</f>
        <v>0</v>
      </c>
      <c r="T434" s="25">
        <f>'Текущие концовки'!I217</f>
        <v>0</v>
      </c>
      <c r="V434" s="5">
        <f>'Текущие концовки'!K217</f>
        <v>0</v>
      </c>
      <c r="W434" s="25">
        <f>'Текущие концовки'!L217</f>
        <v>0</v>
      </c>
      <c r="X434" s="25">
        <f>'Текущие концовки'!M217</f>
        <v>0</v>
      </c>
    </row>
    <row r="435" spans="2:24" ht="10.5" hidden="1">
      <c r="B435" s="22" t="s">
        <v>86</v>
      </c>
      <c r="H435" s="24">
        <f>'Базовые концовки'!F218</f>
        <v>0</v>
      </c>
      <c r="K435" s="24">
        <f>'Текущие концовки'!F218</f>
        <v>0</v>
      </c>
      <c r="R435" s="25"/>
      <c r="S435" s="25"/>
      <c r="T435" s="25"/>
      <c r="V435" s="5"/>
      <c r="W435" s="25"/>
      <c r="X435" s="25"/>
    </row>
    <row r="436" spans="2:24" ht="10.5" hidden="1">
      <c r="B436" s="22" t="s">
        <v>87</v>
      </c>
      <c r="H436" s="24">
        <f>'Базовые концовки'!F219</f>
        <v>0</v>
      </c>
      <c r="K436" s="24">
        <f>'Текущие концовки'!F219</f>
        <v>0</v>
      </c>
      <c r="R436" s="25"/>
      <c r="S436" s="25"/>
      <c r="T436" s="25"/>
      <c r="V436" s="5"/>
      <c r="W436" s="25"/>
      <c r="X436" s="25"/>
    </row>
    <row r="437" spans="2:24" ht="10.5" hidden="1">
      <c r="B437" s="22" t="s">
        <v>88</v>
      </c>
      <c r="H437" s="24">
        <f>'Базовые концовки'!F220</f>
        <v>0</v>
      </c>
      <c r="K437" s="24">
        <f>'Текущие концовки'!F220</f>
        <v>0</v>
      </c>
      <c r="R437" s="25"/>
      <c r="S437" s="25"/>
      <c r="T437" s="25"/>
      <c r="V437" s="5"/>
      <c r="W437" s="25"/>
      <c r="X437" s="25"/>
    </row>
    <row r="438" spans="2:24" ht="10.5" hidden="1">
      <c r="B438" s="22" t="s">
        <v>94</v>
      </c>
      <c r="H438" s="24">
        <f>'Базовые концовки'!F221</f>
        <v>0</v>
      </c>
      <c r="K438" s="24">
        <f>'Текущие концовки'!F221</f>
        <v>0</v>
      </c>
      <c r="R438" s="25"/>
      <c r="S438" s="25"/>
      <c r="T438" s="25"/>
      <c r="V438" s="5"/>
      <c r="W438" s="25"/>
      <c r="X438" s="25"/>
    </row>
    <row r="439" spans="2:24" ht="10.5" hidden="1">
      <c r="B439" s="22" t="s">
        <v>95</v>
      </c>
      <c r="H439" s="24">
        <f>'Базовые концовки'!F222</f>
        <v>0</v>
      </c>
      <c r="K439" s="24">
        <f>'Текущие концовки'!F222</f>
        <v>0</v>
      </c>
      <c r="R439" s="25">
        <f>'Текущие концовки'!G222</f>
        <v>0</v>
      </c>
      <c r="S439" s="25">
        <f>'Текущие концовки'!H222</f>
        <v>0</v>
      </c>
      <c r="T439" s="25">
        <f>'Текущие концовки'!I222</f>
        <v>0</v>
      </c>
      <c r="V439" s="5">
        <f>'Текущие концовки'!K222</f>
        <v>0</v>
      </c>
      <c r="W439" s="25">
        <f>'Текущие концовки'!L222</f>
        <v>0</v>
      </c>
      <c r="X439" s="25">
        <f>'Текущие концовки'!M222</f>
        <v>0</v>
      </c>
    </row>
    <row r="440" spans="2:24" ht="10.5" hidden="1">
      <c r="B440" s="22" t="s">
        <v>82</v>
      </c>
      <c r="H440" s="24"/>
      <c r="K440" s="24"/>
      <c r="R440" s="25"/>
      <c r="S440" s="25"/>
      <c r="T440" s="25"/>
      <c r="V440" s="5"/>
      <c r="W440" s="25"/>
      <c r="X440" s="25"/>
    </row>
    <row r="441" spans="2:24" ht="10.5" hidden="1">
      <c r="B441" s="22" t="s">
        <v>96</v>
      </c>
      <c r="H441" s="24">
        <f>'Базовые концовки'!F224</f>
        <v>0</v>
      </c>
      <c r="K441" s="24">
        <f>'Текущие концовки'!F224</f>
        <v>0</v>
      </c>
      <c r="R441" s="25">
        <f>'Текущие концовки'!G224</f>
        <v>0</v>
      </c>
      <c r="S441" s="25">
        <f>'Текущие концовки'!H224</f>
        <v>0</v>
      </c>
      <c r="T441" s="25">
        <f>'Текущие концовки'!I224</f>
        <v>0</v>
      </c>
      <c r="V441" s="5">
        <f>'Текущие концовки'!K224</f>
        <v>0</v>
      </c>
      <c r="W441" s="25">
        <f>'Текущие концовки'!L224</f>
        <v>0</v>
      </c>
      <c r="X441" s="25">
        <f>'Текущие концовки'!M224</f>
        <v>0</v>
      </c>
    </row>
    <row r="442" spans="2:24" ht="10.5" hidden="1">
      <c r="B442" s="22" t="s">
        <v>86</v>
      </c>
      <c r="H442" s="24">
        <f>'Базовые концовки'!F225</f>
        <v>0</v>
      </c>
      <c r="K442" s="24">
        <f>'Текущие концовки'!F225</f>
        <v>0</v>
      </c>
      <c r="R442" s="25"/>
      <c r="S442" s="25"/>
      <c r="T442" s="25"/>
      <c r="V442" s="5"/>
      <c r="W442" s="25"/>
      <c r="X442" s="25"/>
    </row>
    <row r="443" spans="2:24" ht="10.5" hidden="1">
      <c r="B443" s="22" t="s">
        <v>87</v>
      </c>
      <c r="H443" s="24">
        <f>'Базовые концовки'!F226</f>
        <v>0</v>
      </c>
      <c r="K443" s="24">
        <f>'Текущие концовки'!F226</f>
        <v>0</v>
      </c>
      <c r="R443" s="25"/>
      <c r="S443" s="25"/>
      <c r="T443" s="25"/>
      <c r="V443" s="5"/>
      <c r="W443" s="25"/>
      <c r="X443" s="25"/>
    </row>
    <row r="444" spans="2:24" ht="10.5" hidden="1">
      <c r="B444" s="22" t="s">
        <v>88</v>
      </c>
      <c r="H444" s="24">
        <f>'Базовые концовки'!F227</f>
        <v>0</v>
      </c>
      <c r="K444" s="24">
        <f>'Текущие концовки'!F227</f>
        <v>0</v>
      </c>
      <c r="R444" s="25"/>
      <c r="S444" s="25"/>
      <c r="T444" s="25"/>
      <c r="V444" s="5"/>
      <c r="W444" s="25"/>
      <c r="X444" s="25"/>
    </row>
    <row r="445" spans="2:24" ht="10.5" hidden="1">
      <c r="B445" s="22" t="s">
        <v>79</v>
      </c>
      <c r="H445" s="24">
        <f>'Базовые концовки'!F228</f>
        <v>0</v>
      </c>
      <c r="K445" s="24">
        <f>'Текущие концовки'!F228</f>
        <v>0</v>
      </c>
      <c r="R445" s="25"/>
      <c r="S445" s="25"/>
      <c r="T445" s="25"/>
      <c r="V445" s="5"/>
      <c r="W445" s="25"/>
      <c r="X445" s="25"/>
    </row>
    <row r="446" spans="2:24" ht="10.5" hidden="1">
      <c r="B446" s="22" t="s">
        <v>97</v>
      </c>
      <c r="H446" s="24">
        <f>'Базовые концовки'!F229</f>
        <v>0</v>
      </c>
      <c r="K446" s="24">
        <f>'Текущие концовки'!F229</f>
        <v>0</v>
      </c>
      <c r="R446" s="25"/>
      <c r="S446" s="25"/>
      <c r="T446" s="25"/>
      <c r="V446" s="5"/>
      <c r="W446" s="25"/>
      <c r="X446" s="25"/>
    </row>
    <row r="447" spans="2:24" ht="10.5" hidden="1">
      <c r="B447" s="22" t="s">
        <v>98</v>
      </c>
      <c r="H447" s="24">
        <f>'Базовые концовки'!F230</f>
        <v>0</v>
      </c>
      <c r="K447" s="24">
        <f>'Текущие концовки'!F230</f>
        <v>0</v>
      </c>
      <c r="R447" s="25">
        <f>'Текущие концовки'!G230</f>
        <v>0</v>
      </c>
      <c r="S447" s="25">
        <f>'Текущие концовки'!H230</f>
        <v>0</v>
      </c>
      <c r="T447" s="25">
        <f>'Текущие концовки'!I230</f>
        <v>0</v>
      </c>
      <c r="V447" s="5">
        <f>'Текущие концовки'!K230</f>
        <v>0</v>
      </c>
      <c r="W447" s="25">
        <f>'Текущие концовки'!L230</f>
        <v>0</v>
      </c>
      <c r="X447" s="25">
        <f>'Текущие концовки'!M230</f>
        <v>0</v>
      </c>
    </row>
    <row r="448" spans="2:24" ht="10.5" hidden="1">
      <c r="B448" s="22" t="s">
        <v>86</v>
      </c>
      <c r="H448" s="24">
        <f>'Базовые концовки'!F231</f>
        <v>0</v>
      </c>
      <c r="K448" s="24">
        <f>'Текущие концовки'!F231</f>
        <v>0</v>
      </c>
      <c r="R448" s="25"/>
      <c r="S448" s="25"/>
      <c r="T448" s="25"/>
      <c r="V448" s="5"/>
      <c r="W448" s="25"/>
      <c r="X448" s="25"/>
    </row>
    <row r="449" spans="2:24" ht="10.5" hidden="1">
      <c r="B449" s="22" t="s">
        <v>87</v>
      </c>
      <c r="H449" s="24">
        <f>'Базовые концовки'!F232</f>
        <v>0</v>
      </c>
      <c r="K449" s="24">
        <f>'Текущие концовки'!F232</f>
        <v>0</v>
      </c>
      <c r="R449" s="25"/>
      <c r="S449" s="25"/>
      <c r="T449" s="25"/>
      <c r="V449" s="5"/>
      <c r="W449" s="25"/>
      <c r="X449" s="25"/>
    </row>
    <row r="450" spans="2:24" ht="10.5" hidden="1">
      <c r="B450" s="22" t="s">
        <v>88</v>
      </c>
      <c r="H450" s="24">
        <f>'Базовые концовки'!F233</f>
        <v>0</v>
      </c>
      <c r="K450" s="24">
        <f>'Текущие концовки'!F233</f>
        <v>0</v>
      </c>
      <c r="R450" s="25"/>
      <c r="S450" s="25"/>
      <c r="T450" s="25"/>
      <c r="V450" s="5"/>
      <c r="W450" s="25"/>
      <c r="X450" s="25"/>
    </row>
    <row r="451" spans="2:24" ht="10.5" hidden="1">
      <c r="B451" s="22" t="s">
        <v>99</v>
      </c>
      <c r="H451" s="24">
        <f>'Базовые концовки'!F234</f>
        <v>0</v>
      </c>
      <c r="K451" s="24">
        <f>'Текущие концовки'!F234</f>
        <v>0</v>
      </c>
      <c r="R451" s="25"/>
      <c r="S451" s="25"/>
      <c r="T451" s="25"/>
      <c r="V451" s="5"/>
      <c r="W451" s="25"/>
      <c r="X451" s="25"/>
    </row>
    <row r="452" spans="2:24" ht="10.5" hidden="1">
      <c r="B452" s="22" t="s">
        <v>100</v>
      </c>
      <c r="H452" s="24">
        <f>'Базовые концовки'!F235</f>
        <v>0</v>
      </c>
      <c r="K452" s="24">
        <f>'Текущие концовки'!F235</f>
        <v>0</v>
      </c>
      <c r="R452" s="25">
        <f>'Текущие концовки'!G235</f>
        <v>0</v>
      </c>
      <c r="S452" s="25">
        <f>'Текущие концовки'!H235</f>
        <v>0</v>
      </c>
      <c r="T452" s="25">
        <f>'Текущие концовки'!I235</f>
        <v>0</v>
      </c>
      <c r="V452" s="5">
        <f>'Текущие концовки'!K235</f>
        <v>0</v>
      </c>
      <c r="W452" s="25">
        <f>'Текущие концовки'!L235</f>
        <v>0</v>
      </c>
      <c r="X452" s="25">
        <f>'Текущие концовки'!M235</f>
        <v>0</v>
      </c>
    </row>
    <row r="453" spans="2:24" ht="10.5" hidden="1">
      <c r="B453" s="22" t="s">
        <v>86</v>
      </c>
      <c r="H453" s="24">
        <f>'Базовые концовки'!F236</f>
        <v>0</v>
      </c>
      <c r="K453" s="24">
        <f>'Текущие концовки'!F236</f>
        <v>0</v>
      </c>
      <c r="R453" s="25"/>
      <c r="S453" s="25"/>
      <c r="T453" s="25"/>
      <c r="V453" s="5"/>
      <c r="W453" s="25"/>
      <c r="X453" s="25"/>
    </row>
    <row r="454" spans="2:24" ht="10.5" hidden="1">
      <c r="B454" s="22" t="s">
        <v>87</v>
      </c>
      <c r="H454" s="24">
        <f>'Базовые концовки'!F237</f>
        <v>0</v>
      </c>
      <c r="K454" s="24">
        <f>'Текущие концовки'!F237</f>
        <v>0</v>
      </c>
      <c r="R454" s="25"/>
      <c r="S454" s="25"/>
      <c r="T454" s="25"/>
      <c r="V454" s="5"/>
      <c r="W454" s="25"/>
      <c r="X454" s="25"/>
    </row>
    <row r="455" spans="2:24" ht="10.5" hidden="1">
      <c r="B455" s="22" t="s">
        <v>88</v>
      </c>
      <c r="H455" s="24">
        <f>'Базовые концовки'!F238</f>
        <v>0</v>
      </c>
      <c r="K455" s="24">
        <f>'Текущие концовки'!F238</f>
        <v>0</v>
      </c>
      <c r="R455" s="25"/>
      <c r="S455" s="25"/>
      <c r="T455" s="25"/>
      <c r="V455" s="5"/>
      <c r="W455" s="25"/>
      <c r="X455" s="25"/>
    </row>
    <row r="456" spans="2:24" ht="10.5" hidden="1">
      <c r="B456" s="22" t="s">
        <v>101</v>
      </c>
      <c r="H456" s="24">
        <f>'Базовые концовки'!F239</f>
        <v>0</v>
      </c>
      <c r="K456" s="24">
        <f>'Текущие концовки'!F239</f>
        <v>0</v>
      </c>
      <c r="R456" s="25"/>
      <c r="S456" s="25"/>
      <c r="T456" s="25"/>
      <c r="V456" s="5"/>
      <c r="W456" s="25"/>
      <c r="X456" s="25"/>
    </row>
    <row r="457" spans="2:24" ht="10.5" hidden="1">
      <c r="B457" s="22" t="s">
        <v>102</v>
      </c>
      <c r="H457" s="24">
        <f>'Базовые концовки'!F240</f>
        <v>0</v>
      </c>
      <c r="K457" s="24">
        <f>'Текущие концовки'!F240</f>
        <v>0</v>
      </c>
      <c r="R457" s="25">
        <f>'Текущие концовки'!G240</f>
        <v>0</v>
      </c>
      <c r="S457" s="25">
        <f>'Текущие концовки'!H240</f>
        <v>0</v>
      </c>
      <c r="T457" s="25">
        <f>'Текущие концовки'!I240</f>
        <v>0</v>
      </c>
      <c r="V457" s="5">
        <f>'Текущие концовки'!K240</f>
        <v>0</v>
      </c>
      <c r="W457" s="25">
        <f>'Текущие концовки'!L240</f>
        <v>0</v>
      </c>
      <c r="X457" s="25">
        <f>'Текущие концовки'!M240</f>
        <v>0</v>
      </c>
    </row>
    <row r="458" spans="2:24" ht="10.5" hidden="1">
      <c r="B458" s="22" t="s">
        <v>82</v>
      </c>
      <c r="H458" s="24"/>
      <c r="K458" s="24"/>
      <c r="R458" s="25"/>
      <c r="S458" s="25"/>
      <c r="T458" s="25"/>
      <c r="V458" s="5"/>
      <c r="W458" s="25"/>
      <c r="X458" s="25"/>
    </row>
    <row r="459" spans="2:24" ht="10.5" hidden="1">
      <c r="B459" s="22" t="s">
        <v>91</v>
      </c>
      <c r="H459" s="24">
        <f>'Базовые концовки'!F242</f>
        <v>0</v>
      </c>
      <c r="K459" s="24">
        <f>'Текущие концовки'!F242</f>
        <v>0</v>
      </c>
      <c r="R459" s="25"/>
      <c r="S459" s="25"/>
      <c r="T459" s="25"/>
      <c r="V459" s="5"/>
      <c r="W459" s="25"/>
      <c r="X459" s="25"/>
    </row>
    <row r="460" spans="2:24" ht="10.5" hidden="1">
      <c r="B460" s="22" t="s">
        <v>86</v>
      </c>
      <c r="H460" s="24">
        <f>'Базовые концовки'!F243</f>
        <v>0</v>
      </c>
      <c r="K460" s="24">
        <f>'Текущие концовки'!F243</f>
        <v>0</v>
      </c>
      <c r="R460" s="25"/>
      <c r="S460" s="25"/>
      <c r="T460" s="25"/>
      <c r="V460" s="5"/>
      <c r="W460" s="25"/>
      <c r="X460" s="25"/>
    </row>
    <row r="461" spans="2:24" ht="10.5" hidden="1">
      <c r="B461" s="22" t="s">
        <v>87</v>
      </c>
      <c r="H461" s="24">
        <f>'Базовые концовки'!F244</f>
        <v>0</v>
      </c>
      <c r="K461" s="24">
        <f>'Текущие концовки'!F244</f>
        <v>0</v>
      </c>
      <c r="R461" s="25"/>
      <c r="S461" s="25"/>
      <c r="T461" s="25"/>
      <c r="V461" s="5"/>
      <c r="W461" s="25"/>
      <c r="X461" s="25"/>
    </row>
    <row r="462" spans="2:24" ht="10.5" hidden="1">
      <c r="B462" s="22" t="s">
        <v>88</v>
      </c>
      <c r="H462" s="24">
        <f>'Базовые концовки'!F245</f>
        <v>0</v>
      </c>
      <c r="K462" s="24">
        <f>'Текущие концовки'!F245</f>
        <v>0</v>
      </c>
      <c r="R462" s="25"/>
      <c r="S462" s="25"/>
      <c r="T462" s="25"/>
      <c r="V462" s="5"/>
      <c r="W462" s="25"/>
      <c r="X462" s="25"/>
    </row>
    <row r="463" spans="2:24" ht="10.5" hidden="1">
      <c r="B463" s="22" t="s">
        <v>103</v>
      </c>
      <c r="H463" s="24">
        <f>'Базовые концовки'!F246</f>
        <v>0</v>
      </c>
      <c r="K463" s="24">
        <f>'Текущие концовки'!F246</f>
        <v>0</v>
      </c>
      <c r="R463" s="25"/>
      <c r="S463" s="25"/>
      <c r="T463" s="25"/>
      <c r="V463" s="5"/>
      <c r="W463" s="25"/>
      <c r="X463" s="25"/>
    </row>
    <row r="464" spans="2:24" ht="10.5" hidden="1">
      <c r="B464" s="22" t="s">
        <v>104</v>
      </c>
      <c r="H464" s="24">
        <f>'Базовые концовки'!F247</f>
        <v>0</v>
      </c>
      <c r="K464" s="24">
        <f>'Текущие концовки'!F247</f>
        <v>0</v>
      </c>
      <c r="R464" s="25">
        <f>'Текущие концовки'!G247</f>
        <v>0</v>
      </c>
      <c r="S464" s="25">
        <f>'Текущие концовки'!H247</f>
        <v>0</v>
      </c>
      <c r="T464" s="25">
        <f>'Текущие концовки'!I247</f>
        <v>0</v>
      </c>
      <c r="V464" s="5">
        <f>'Текущие концовки'!K247</f>
        <v>0</v>
      </c>
      <c r="W464" s="25">
        <f>'Текущие концовки'!L247</f>
        <v>0</v>
      </c>
      <c r="X464" s="25">
        <f>'Текущие концовки'!M247</f>
        <v>0</v>
      </c>
    </row>
    <row r="465" spans="2:24" ht="10.5" hidden="1">
      <c r="B465" s="22" t="s">
        <v>105</v>
      </c>
      <c r="H465" s="24">
        <f>'Базовые концовки'!F248</f>
        <v>0</v>
      </c>
      <c r="K465" s="24">
        <f>'Текущие концовки'!F248</f>
        <v>0</v>
      </c>
      <c r="R465" s="25"/>
      <c r="S465" s="25"/>
      <c r="T465" s="25"/>
      <c r="V465" s="5"/>
      <c r="W465" s="25"/>
      <c r="X465" s="25"/>
    </row>
    <row r="466" spans="2:24" ht="10.5" hidden="1">
      <c r="B466" s="22" t="s">
        <v>106</v>
      </c>
      <c r="H466" s="24">
        <f>'Базовые концовки'!F249</f>
        <v>0</v>
      </c>
      <c r="K466" s="24">
        <f>'Текущие концовки'!F249</f>
        <v>0</v>
      </c>
      <c r="R466" s="25"/>
      <c r="S466" s="25"/>
      <c r="T466" s="25"/>
      <c r="V466" s="5"/>
      <c r="W466" s="25"/>
      <c r="X466" s="25"/>
    </row>
    <row r="467" spans="2:24" ht="10.5" hidden="1">
      <c r="B467" s="22" t="s">
        <v>87</v>
      </c>
      <c r="H467" s="24">
        <f>'Базовые концовки'!F250</f>
        <v>0</v>
      </c>
      <c r="K467" s="24">
        <f>'Текущие концовки'!F250</f>
        <v>0</v>
      </c>
      <c r="R467" s="25"/>
      <c r="S467" s="25"/>
      <c r="T467" s="25"/>
      <c r="V467" s="5"/>
      <c r="W467" s="25"/>
      <c r="X467" s="25"/>
    </row>
    <row r="468" spans="2:24" ht="10.5" hidden="1">
      <c r="B468" s="22" t="s">
        <v>88</v>
      </c>
      <c r="H468" s="24">
        <f>'Базовые концовки'!F251</f>
        <v>0</v>
      </c>
      <c r="K468" s="24">
        <f>'Текущие концовки'!F251</f>
        <v>0</v>
      </c>
      <c r="R468" s="25"/>
      <c r="S468" s="25"/>
      <c r="T468" s="25"/>
      <c r="V468" s="5"/>
      <c r="W468" s="25"/>
      <c r="X468" s="25"/>
    </row>
    <row r="469" spans="2:24" ht="10.5" hidden="1">
      <c r="B469" s="22" t="s">
        <v>107</v>
      </c>
      <c r="H469" s="24">
        <f>'Базовые концовки'!F252</f>
        <v>0</v>
      </c>
      <c r="K469" s="24">
        <f>'Текущие концовки'!F252</f>
        <v>0</v>
      </c>
      <c r="R469" s="25"/>
      <c r="S469" s="25"/>
      <c r="T469" s="25"/>
      <c r="V469" s="5"/>
      <c r="W469" s="25"/>
      <c r="X469" s="25"/>
    </row>
    <row r="470" spans="2:24" ht="10.5" hidden="1">
      <c r="B470" s="22" t="s">
        <v>108</v>
      </c>
      <c r="H470" s="24">
        <f>'Базовые концовки'!F253</f>
        <v>0</v>
      </c>
      <c r="K470" s="24">
        <f>'Текущие концовки'!F253</f>
        <v>0</v>
      </c>
      <c r="R470" s="25">
        <f>'Текущие концовки'!G253</f>
        <v>0</v>
      </c>
      <c r="S470" s="25">
        <f>'Текущие концовки'!H253</f>
        <v>0</v>
      </c>
      <c r="T470" s="25">
        <f>'Текущие концовки'!I253</f>
        <v>0</v>
      </c>
      <c r="V470" s="5">
        <f>'Текущие концовки'!K253</f>
        <v>0</v>
      </c>
      <c r="W470" s="25">
        <f>'Текущие концовки'!L253</f>
        <v>0</v>
      </c>
      <c r="X470" s="25">
        <f>'Текущие концовки'!M253</f>
        <v>0</v>
      </c>
    </row>
    <row r="471" spans="2:24" ht="10.5" hidden="1">
      <c r="B471" s="22" t="s">
        <v>87</v>
      </c>
      <c r="H471" s="24">
        <f>'Базовые концовки'!F254</f>
        <v>0</v>
      </c>
      <c r="K471" s="24">
        <f>'Текущие концовки'!F254</f>
        <v>0</v>
      </c>
      <c r="R471" s="25"/>
      <c r="S471" s="25"/>
      <c r="T471" s="25"/>
      <c r="V471" s="5"/>
      <c r="W471" s="25"/>
      <c r="X471" s="25"/>
    </row>
    <row r="472" spans="2:24" ht="10.5" hidden="1">
      <c r="B472" s="22" t="s">
        <v>88</v>
      </c>
      <c r="H472" s="24">
        <f>'Базовые концовки'!F255</f>
        <v>0</v>
      </c>
      <c r="K472" s="24">
        <f>'Текущие концовки'!F255</f>
        <v>0</v>
      </c>
      <c r="R472" s="25"/>
      <c r="S472" s="25"/>
      <c r="T472" s="25"/>
      <c r="V472" s="5"/>
      <c r="W472" s="25"/>
      <c r="X472" s="25"/>
    </row>
    <row r="473" spans="2:24" ht="10.5" hidden="1">
      <c r="B473" s="22" t="s">
        <v>109</v>
      </c>
      <c r="H473" s="24">
        <f>'Базовые концовки'!F256</f>
        <v>0</v>
      </c>
      <c r="K473" s="24">
        <f>'Текущие концовки'!F256</f>
        <v>0</v>
      </c>
      <c r="R473" s="25"/>
      <c r="S473" s="25"/>
      <c r="T473" s="25"/>
      <c r="V473" s="5"/>
      <c r="W473" s="25"/>
      <c r="X473" s="25"/>
    </row>
    <row r="474" spans="2:24" ht="10.5" hidden="1">
      <c r="B474" s="22" t="s">
        <v>110</v>
      </c>
      <c r="H474" s="24">
        <f>'Базовые концовки'!F257</f>
        <v>0</v>
      </c>
      <c r="K474" s="24">
        <f>'Текущие концовки'!F257</f>
        <v>0</v>
      </c>
      <c r="R474" s="25">
        <f>'Текущие концовки'!G257</f>
        <v>0</v>
      </c>
      <c r="S474" s="25">
        <f>'Текущие концовки'!H257</f>
        <v>0</v>
      </c>
      <c r="T474" s="25">
        <f>'Текущие концовки'!I257</f>
        <v>0</v>
      </c>
      <c r="V474" s="5">
        <f>'Текущие концовки'!K257</f>
        <v>0</v>
      </c>
      <c r="W474" s="25">
        <f>'Текущие концовки'!L257</f>
        <v>0</v>
      </c>
      <c r="X474" s="25">
        <f>'Текущие концовки'!M257</f>
        <v>0</v>
      </c>
    </row>
    <row r="475" spans="2:24" ht="10.5" hidden="1">
      <c r="B475" s="22" t="s">
        <v>86</v>
      </c>
      <c r="H475" s="24">
        <f>'Базовые концовки'!F258</f>
        <v>0</v>
      </c>
      <c r="K475" s="24">
        <f>'Текущие концовки'!F258</f>
        <v>0</v>
      </c>
      <c r="R475" s="25"/>
      <c r="S475" s="25"/>
      <c r="T475" s="25"/>
      <c r="V475" s="5"/>
      <c r="W475" s="25"/>
      <c r="X475" s="25"/>
    </row>
    <row r="476" spans="2:24" ht="10.5" hidden="1">
      <c r="B476" s="22" t="s">
        <v>87</v>
      </c>
      <c r="H476" s="24">
        <f>'Базовые концовки'!F259</f>
        <v>0</v>
      </c>
      <c r="K476" s="24">
        <f>'Текущие концовки'!F259</f>
        <v>0</v>
      </c>
      <c r="R476" s="25"/>
      <c r="S476" s="25"/>
      <c r="T476" s="25"/>
      <c r="V476" s="5"/>
      <c r="W476" s="25"/>
      <c r="X476" s="25"/>
    </row>
    <row r="477" spans="2:24" ht="10.5" hidden="1">
      <c r="B477" s="22" t="s">
        <v>88</v>
      </c>
      <c r="H477" s="24">
        <f>'Базовые концовки'!F260</f>
        <v>0</v>
      </c>
      <c r="K477" s="24">
        <f>'Текущие концовки'!F260</f>
        <v>0</v>
      </c>
      <c r="R477" s="25"/>
      <c r="S477" s="25"/>
      <c r="T477" s="25"/>
      <c r="V477" s="5"/>
      <c r="W477" s="25"/>
      <c r="X477" s="25"/>
    </row>
    <row r="478" spans="2:24" ht="10.5" hidden="1">
      <c r="B478" s="22" t="s">
        <v>111</v>
      </c>
      <c r="H478" s="24">
        <f>'Базовые концовки'!F261</f>
        <v>0</v>
      </c>
      <c r="K478" s="24">
        <f>'Текущие концовки'!F261</f>
        <v>0</v>
      </c>
      <c r="R478" s="25"/>
      <c r="S478" s="25"/>
      <c r="T478" s="25"/>
      <c r="V478" s="5"/>
      <c r="W478" s="25"/>
      <c r="X478" s="25"/>
    </row>
    <row r="479" spans="2:24" ht="10.5" hidden="1">
      <c r="B479" s="22" t="s">
        <v>112</v>
      </c>
      <c r="H479" s="24">
        <f>'Базовые концовки'!F262</f>
        <v>0</v>
      </c>
      <c r="K479" s="24">
        <f>'Текущие концовки'!F262</f>
        <v>0</v>
      </c>
      <c r="R479" s="25">
        <f>'Текущие концовки'!G262</f>
        <v>0</v>
      </c>
      <c r="S479" s="25">
        <f>'Текущие концовки'!H262</f>
        <v>0</v>
      </c>
      <c r="T479" s="25">
        <f>'Текущие концовки'!I262</f>
        <v>0</v>
      </c>
      <c r="V479" s="5">
        <f>'Текущие концовки'!K262</f>
        <v>0</v>
      </c>
      <c r="W479" s="25">
        <f>'Текущие концовки'!L262</f>
        <v>0</v>
      </c>
      <c r="X479" s="25">
        <f>'Текущие концовки'!M262</f>
        <v>0</v>
      </c>
    </row>
    <row r="480" spans="2:24" ht="10.5" hidden="1">
      <c r="B480" s="22" t="s">
        <v>86</v>
      </c>
      <c r="H480" s="24">
        <f>'Базовые концовки'!F263</f>
        <v>0</v>
      </c>
      <c r="K480" s="24">
        <f>'Текущие концовки'!F263</f>
        <v>0</v>
      </c>
      <c r="R480" s="25"/>
      <c r="S480" s="25"/>
      <c r="T480" s="25"/>
      <c r="V480" s="5"/>
      <c r="W480" s="25"/>
      <c r="X480" s="25"/>
    </row>
    <row r="481" spans="2:24" ht="10.5">
      <c r="B481" s="22" t="s">
        <v>392</v>
      </c>
      <c r="E481" s="23"/>
      <c r="H481" s="24">
        <f>'Базовые концовки'!F264</f>
        <v>22744.9</v>
      </c>
      <c r="K481" s="24">
        <f>'Текущие концовки'!F264</f>
        <v>242843.75</v>
      </c>
      <c r="R481" s="25">
        <f>'Текущие концовки'!G264</f>
        <v>0</v>
      </c>
      <c r="S481" s="25">
        <f>'Текущие концовки'!H264</f>
        <v>0</v>
      </c>
      <c r="T481" s="25">
        <f>'Текущие концовки'!I264</f>
        <v>0</v>
      </c>
      <c r="V481" s="5">
        <f>'Текущие концовки'!K264</f>
        <v>0</v>
      </c>
      <c r="W481" s="25">
        <f>'Текущие концовки'!L264</f>
        <v>0</v>
      </c>
      <c r="X481" s="25">
        <f>'Текущие концовки'!M264</f>
        <v>0</v>
      </c>
    </row>
    <row r="482" spans="2:24" ht="10.5" hidden="1">
      <c r="B482" s="22" t="s">
        <v>113</v>
      </c>
      <c r="H482" s="24">
        <f>'Базовые концовки'!F265</f>
        <v>0</v>
      </c>
      <c r="K482" s="24">
        <f>'Текущие концовки'!F265</f>
        <v>0</v>
      </c>
      <c r="R482" s="25"/>
      <c r="S482" s="25"/>
      <c r="T482" s="25"/>
      <c r="V482" s="5"/>
      <c r="W482" s="25"/>
      <c r="X482" s="25"/>
    </row>
    <row r="483" spans="2:24" ht="10.5">
      <c r="B483" s="22" t="s">
        <v>114</v>
      </c>
      <c r="E483" s="23"/>
      <c r="H483" s="24">
        <f>'Базовые концовки'!F266</f>
        <v>2806.38</v>
      </c>
      <c r="K483" s="24">
        <f>'Текущие концовки'!F266</f>
        <v>73581.25</v>
      </c>
      <c r="R483" s="25"/>
      <c r="S483" s="25"/>
      <c r="T483" s="25"/>
      <c r="V483" s="5"/>
      <c r="W483" s="25"/>
      <c r="X483" s="25"/>
    </row>
    <row r="484" spans="2:24" ht="10.5">
      <c r="B484" s="22" t="s">
        <v>115</v>
      </c>
      <c r="E484" s="23"/>
      <c r="H484" s="24">
        <f>'Базовые концовки'!F267</f>
        <v>1647.35</v>
      </c>
      <c r="K484" s="24">
        <f>'Текущие концовки'!F267</f>
        <v>43192.83</v>
      </c>
      <c r="R484" s="25"/>
      <c r="S484" s="25"/>
      <c r="T484" s="25"/>
      <c r="V484" s="5"/>
      <c r="W484" s="25"/>
      <c r="X484" s="25"/>
    </row>
    <row r="485" spans="2:24" ht="10.5" hidden="1">
      <c r="B485" s="22" t="s">
        <v>38</v>
      </c>
      <c r="H485" s="24">
        <f>'Базовые концовки'!F268</f>
        <v>0</v>
      </c>
      <c r="K485" s="24">
        <f>'Текущие концовки'!F268</f>
        <v>0</v>
      </c>
      <c r="R485" s="25"/>
      <c r="S485" s="25"/>
      <c r="T485" s="25"/>
      <c r="V485" s="5"/>
      <c r="W485" s="25">
        <f>'Текущие концовки'!L268</f>
        <v>0</v>
      </c>
      <c r="X485" s="25"/>
    </row>
    <row r="486" spans="2:24" ht="10.5" hidden="1">
      <c r="B486" s="22" t="s">
        <v>116</v>
      </c>
      <c r="H486" s="24">
        <f>'Базовые концовки'!F269</f>
        <v>0</v>
      </c>
      <c r="K486" s="24">
        <f>'Текущие концовки'!F269</f>
        <v>0</v>
      </c>
      <c r="R486" s="25"/>
      <c r="S486" s="25"/>
      <c r="T486" s="25"/>
      <c r="V486" s="5"/>
      <c r="W486" s="25">
        <f>'Текущие концовки'!L269</f>
        <v>0</v>
      </c>
      <c r="X486" s="25"/>
    </row>
    <row r="487" spans="2:24" ht="10.5" hidden="1">
      <c r="B487" s="22" t="s">
        <v>117</v>
      </c>
      <c r="E487" s="23"/>
      <c r="H487" s="24">
        <f>'Базовые концовки'!F270</f>
        <v>2502.69</v>
      </c>
      <c r="K487" s="24">
        <f>'Текущие концовки'!F270</f>
        <v>65619.36</v>
      </c>
      <c r="R487" s="25"/>
      <c r="S487" s="25"/>
      <c r="T487" s="25"/>
      <c r="V487" s="5"/>
      <c r="W487" s="25"/>
      <c r="X487" s="25"/>
    </row>
    <row r="488" spans="2:24" ht="10.5" hidden="1">
      <c r="B488" s="22" t="s">
        <v>118</v>
      </c>
      <c r="E488" s="23"/>
      <c r="H488" s="24">
        <f>'Базовые концовки'!F271</f>
        <v>72.82</v>
      </c>
      <c r="K488" s="24">
        <f>'Текущие концовки'!F271</f>
        <v>1909.16</v>
      </c>
      <c r="R488" s="25"/>
      <c r="S488" s="25"/>
      <c r="T488" s="25"/>
      <c r="V488" s="5"/>
      <c r="W488" s="25"/>
      <c r="X488" s="25"/>
    </row>
    <row r="489" spans="2:24" ht="10.5" hidden="1">
      <c r="B489" s="22" t="s">
        <v>119</v>
      </c>
      <c r="E489" s="23"/>
      <c r="H489" s="24">
        <f>'Базовые концовки'!F272</f>
        <v>2575.51</v>
      </c>
      <c r="K489" s="24">
        <f>'Текущие концовки'!F272</f>
        <v>67528.52</v>
      </c>
      <c r="R489" s="25"/>
      <c r="S489" s="25"/>
      <c r="T489" s="25"/>
      <c r="V489" s="5"/>
      <c r="W489" s="25"/>
      <c r="X489" s="25"/>
    </row>
    <row r="490" spans="2:24" ht="10.5" hidden="1">
      <c r="B490" s="22" t="s">
        <v>120</v>
      </c>
      <c r="E490" s="23"/>
      <c r="H490" s="5">
        <f>'Базовые концовки'!J273</f>
        <v>286.677975</v>
      </c>
      <c r="K490" s="5">
        <f>'Текущие концовки'!J273</f>
        <v>286.677975</v>
      </c>
      <c r="R490" s="25"/>
      <c r="S490" s="25"/>
      <c r="T490" s="25"/>
      <c r="V490" s="5"/>
      <c r="W490" s="25"/>
      <c r="X490" s="25"/>
    </row>
    <row r="491" spans="2:24" ht="10.5" hidden="1">
      <c r="B491" s="22" t="s">
        <v>121</v>
      </c>
      <c r="E491" s="23"/>
      <c r="H491" s="5">
        <f>'Базовые концовки'!J274</f>
        <v>6.369375</v>
      </c>
      <c r="K491" s="5">
        <f>'Текущие концовки'!J274</f>
        <v>6.369375</v>
      </c>
      <c r="R491" s="25"/>
      <c r="S491" s="25"/>
      <c r="T491" s="25"/>
      <c r="V491" s="5"/>
      <c r="W491" s="25"/>
      <c r="X491" s="25"/>
    </row>
    <row r="492" spans="2:24" ht="10.5" hidden="1">
      <c r="B492" s="22" t="s">
        <v>122</v>
      </c>
      <c r="E492" s="23"/>
      <c r="H492" s="5">
        <f>'Базовые концовки'!J275</f>
        <v>293.04735</v>
      </c>
      <c r="K492" s="5">
        <f>'Текущие концовки'!J275</f>
        <v>293.04735</v>
      </c>
      <c r="R492" s="25"/>
      <c r="S492" s="25"/>
      <c r="T492" s="25"/>
      <c r="V492" s="5"/>
      <c r="W492" s="25"/>
      <c r="X492" s="25"/>
    </row>
    <row r="494" spans="2:12" ht="10.5">
      <c r="B494" s="4" t="s">
        <v>172</v>
      </c>
      <c r="C494" s="37"/>
      <c r="D494" s="37"/>
      <c r="E494" s="37"/>
      <c r="F494" s="37"/>
      <c r="G494" s="37"/>
      <c r="H494" s="37"/>
      <c r="I494" s="37"/>
      <c r="J494" s="37"/>
      <c r="K494" s="37"/>
      <c r="L494" s="37"/>
    </row>
    <row r="495" spans="3:14" ht="10.5">
      <c r="C495" s="38" t="s">
        <v>173</v>
      </c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</row>
    <row r="497" spans="2:12" ht="10.5">
      <c r="B497" s="4" t="s">
        <v>174</v>
      </c>
      <c r="C497" s="37"/>
      <c r="D497" s="37"/>
      <c r="E497" s="37"/>
      <c r="F497" s="37"/>
      <c r="G497" s="37"/>
      <c r="H497" s="37"/>
      <c r="I497" s="37"/>
      <c r="J497" s="37"/>
      <c r="K497" s="37"/>
      <c r="L497" s="37"/>
    </row>
    <row r="498" spans="3:14" ht="10.5">
      <c r="C498" s="38" t="s">
        <v>173</v>
      </c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</row>
    <row r="499" ht="10.5">
      <c r="A499" s="26"/>
    </row>
  </sheetData>
  <sheetProtection/>
  <mergeCells count="25">
    <mergeCell ref="A3:D3"/>
    <mergeCell ref="F3:I3"/>
    <mergeCell ref="A4:D4"/>
    <mergeCell ref="F4:I4"/>
    <mergeCell ref="F2:I2"/>
    <mergeCell ref="B2:C2"/>
    <mergeCell ref="J15:K15"/>
    <mergeCell ref="A7:D7"/>
    <mergeCell ref="F7:I7"/>
    <mergeCell ref="A10:L10"/>
    <mergeCell ref="A11:L11"/>
    <mergeCell ref="A5:D5"/>
    <mergeCell ref="F5:I5"/>
    <mergeCell ref="A6:D6"/>
    <mergeCell ref="F6:I6"/>
    <mergeCell ref="C494:L494"/>
    <mergeCell ref="C495:N495"/>
    <mergeCell ref="C497:L497"/>
    <mergeCell ref="C498:N498"/>
    <mergeCell ref="A12:L12"/>
    <mergeCell ref="A16:L16"/>
    <mergeCell ref="B21:L22"/>
    <mergeCell ref="B166:L167"/>
    <mergeCell ref="J13:K13"/>
    <mergeCell ref="J14:K14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2:N27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8" customWidth="1"/>
    <col min="2" max="2" width="44.421875" style="7" customWidth="1"/>
    <col min="3" max="3" width="3.421875" style="32" customWidth="1"/>
    <col min="4" max="4" width="6.00390625" style="35" customWidth="1"/>
    <col min="5" max="5" width="6.00390625" style="7" customWidth="1"/>
    <col min="6" max="9" width="12.7109375" style="35" customWidth="1"/>
    <col min="10" max="11" width="18.7109375" style="35" customWidth="1"/>
    <col min="12" max="12" width="12.7109375" style="35" customWidth="1"/>
    <col min="13" max="13" width="9.140625" style="35" customWidth="1"/>
    <col min="14" max="14" width="3.421875" style="32" hidden="1" customWidth="1"/>
    <col min="15" max="16384" width="9.140625" style="35" customWidth="1"/>
  </cols>
  <sheetData>
    <row r="2" spans="1:14" ht="10.5">
      <c r="A2" s="47"/>
      <c r="B2" s="54"/>
      <c r="C2" s="54"/>
      <c r="D2" s="55"/>
      <c r="E2" s="54"/>
      <c r="F2" s="55"/>
      <c r="G2" s="55"/>
      <c r="H2" s="55"/>
      <c r="I2" s="55"/>
      <c r="J2" s="55"/>
      <c r="K2" s="55"/>
      <c r="L2" s="55"/>
      <c r="N2" s="35"/>
    </row>
    <row r="3" spans="1:14" ht="10.5">
      <c r="A3" s="30"/>
      <c r="B3" s="49" t="s">
        <v>210</v>
      </c>
      <c r="C3" s="49"/>
      <c r="D3" s="49"/>
      <c r="E3" s="49"/>
      <c r="F3" s="49"/>
      <c r="G3" s="49"/>
      <c r="H3" s="49"/>
      <c r="I3" s="49"/>
      <c r="J3" s="49"/>
      <c r="K3" s="49"/>
      <c r="L3" s="49"/>
      <c r="N3" s="35"/>
    </row>
    <row r="4" spans="1:14" ht="10.5">
      <c r="A4" s="30"/>
      <c r="B4" s="49" t="s">
        <v>211</v>
      </c>
      <c r="C4" s="49"/>
      <c r="D4" s="49"/>
      <c r="E4" s="49"/>
      <c r="F4" s="49"/>
      <c r="G4" s="49"/>
      <c r="H4" s="49"/>
      <c r="I4" s="49"/>
      <c r="J4" s="49"/>
      <c r="K4" s="49"/>
      <c r="L4" s="49"/>
      <c r="N4" s="35"/>
    </row>
    <row r="5" spans="1:14" ht="10.5">
      <c r="A5" s="47"/>
      <c r="B5" s="54"/>
      <c r="C5" s="54"/>
      <c r="D5" s="55"/>
      <c r="E5" s="54"/>
      <c r="F5" s="55"/>
      <c r="G5" s="55"/>
      <c r="H5" s="55"/>
      <c r="I5" s="55"/>
      <c r="J5" s="55"/>
      <c r="K5" s="55"/>
      <c r="L5" s="55"/>
      <c r="N5" s="35"/>
    </row>
    <row r="7" spans="2:14" ht="10.5">
      <c r="B7" s="41" t="s">
        <v>24</v>
      </c>
      <c r="C7" s="41"/>
      <c r="D7" s="41"/>
      <c r="E7" s="41"/>
      <c r="F7" s="41"/>
      <c r="G7" s="41"/>
      <c r="H7" s="41"/>
      <c r="I7" s="41"/>
      <c r="J7" s="41"/>
      <c r="K7" s="41"/>
      <c r="L7" s="41"/>
      <c r="N7" s="35"/>
    </row>
    <row r="8" spans="2:12" ht="10.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 s="29" customFormat="1" ht="10.5">
      <c r="A9" s="5"/>
      <c r="B9" s="29" t="s">
        <v>274</v>
      </c>
      <c r="C9" s="29" t="s">
        <v>275</v>
      </c>
      <c r="D9" s="36" t="s">
        <v>276</v>
      </c>
      <c r="E9" s="29" t="s">
        <v>277</v>
      </c>
      <c r="F9" s="29" t="s">
        <v>278</v>
      </c>
      <c r="G9" s="29" t="s">
        <v>279</v>
      </c>
      <c r="H9" s="29" t="s">
        <v>280</v>
      </c>
      <c r="I9" s="29" t="s">
        <v>281</v>
      </c>
      <c r="J9" s="29" t="s">
        <v>282</v>
      </c>
      <c r="K9" s="29" t="s">
        <v>283</v>
      </c>
      <c r="L9" s="29" t="s">
        <v>284</v>
      </c>
      <c r="M9" s="29" t="s">
        <v>285</v>
      </c>
    </row>
    <row r="10" spans="1:14" ht="10.5">
      <c r="A10" s="28">
        <v>1</v>
      </c>
      <c r="B10" s="7" t="s">
        <v>170</v>
      </c>
      <c r="C10" s="32" t="s">
        <v>286</v>
      </c>
      <c r="D10" s="35">
        <v>0</v>
      </c>
      <c r="E10" s="35"/>
      <c r="F10" s="27">
        <f>ROUND(SUM('Текущие цены с учетом расхода'!B9:B12),2)</f>
        <v>3729.49</v>
      </c>
      <c r="G10" s="27">
        <f>ROUND(SUM('Текущие цены с учетом расхода'!C9:C12),2)</f>
        <v>3704.05</v>
      </c>
      <c r="H10" s="27">
        <f>ROUND(SUM('Текущие цены с учетом расхода'!D9:D12),2)</f>
        <v>25.44</v>
      </c>
      <c r="I10" s="27">
        <f>ROUND(SUM('Текущие цены с учетом расхода'!E9:E12),2)</f>
        <v>23.08</v>
      </c>
      <c r="J10" s="31">
        <f>ROUND(SUM('Текущие цены с учетом расхода'!I9:I12),8)</f>
        <v>18.111</v>
      </c>
      <c r="K10" s="31">
        <f>ROUND(SUM('Текущие цены с учетом расхода'!K9:K12),8)</f>
        <v>0.065</v>
      </c>
      <c r="L10" s="27">
        <f>ROUND(SUM('Текущие цены с учетом расхода'!F9:F12),2)</f>
        <v>0</v>
      </c>
      <c r="N10" s="35"/>
    </row>
    <row r="11" spans="1:12" ht="10.5">
      <c r="A11" s="28">
        <v>2</v>
      </c>
      <c r="B11" s="7" t="s">
        <v>71</v>
      </c>
      <c r="C11" s="32" t="s">
        <v>287</v>
      </c>
      <c r="D11" s="35">
        <v>0</v>
      </c>
      <c r="F11" s="27">
        <f>ROUND(SUMIF(Определители!I9:I12,"= ",'Текущие цены с учетом расхода'!B9:B12),2)</f>
        <v>0</v>
      </c>
      <c r="G11" s="27">
        <f>ROUND(SUMIF(Определители!I9:I12,"= ",'Текущие цены с учетом расхода'!C9:C12),2)</f>
        <v>0</v>
      </c>
      <c r="H11" s="27">
        <f>ROUND(SUMIF(Определители!I9:I12,"= ",'Текущие цены с учетом расхода'!D9:D12),2)</f>
        <v>0</v>
      </c>
      <c r="I11" s="27">
        <f>ROUND(SUMIF(Определители!I9:I12,"= ",'Текущие цены с учетом расхода'!E9:E12),2)</f>
        <v>0</v>
      </c>
      <c r="J11" s="31">
        <f>ROUND(SUMIF(Определители!I9:I12,"= ",'Текущие цены с учетом расхода'!I9:I12),8)</f>
        <v>0</v>
      </c>
      <c r="K11" s="31">
        <f>ROUND(SUMIF(Определители!I9:I12,"= ",'Текущие цены с учетом расхода'!K9:K12),8)</f>
        <v>0</v>
      </c>
      <c r="L11" s="27">
        <f>ROUND(SUMIF(Определители!I9:I12,"= ",'Текущие цены с учетом расхода'!F9:F12),2)</f>
        <v>0</v>
      </c>
    </row>
    <row r="12" spans="1:12" ht="10.5">
      <c r="A12" s="28">
        <v>3</v>
      </c>
      <c r="B12" s="7" t="s">
        <v>72</v>
      </c>
      <c r="C12" s="32" t="s">
        <v>287</v>
      </c>
      <c r="D12" s="35">
        <v>0</v>
      </c>
      <c r="F12" s="27">
        <f>ROUND(СУММПРОИЗВЕСЛИ(0.01,Определители!I9:I12," ",'Текущие цены с учетом расхода'!B9:B12,Начисления!X9:X12,0),2)</f>
        <v>0</v>
      </c>
      <c r="G12" s="27"/>
      <c r="H12" s="27"/>
      <c r="I12" s="27"/>
      <c r="J12" s="31"/>
      <c r="K12" s="31"/>
      <c r="L12" s="27"/>
    </row>
    <row r="13" spans="1:12" ht="10.5">
      <c r="A13" s="28">
        <v>4</v>
      </c>
      <c r="B13" s="7" t="s">
        <v>73</v>
      </c>
      <c r="C13" s="32" t="s">
        <v>287</v>
      </c>
      <c r="D13" s="35">
        <v>0</v>
      </c>
      <c r="F13" s="27">
        <f>ROUND(СУММПРОИЗВЕСЛИ(0.01,Определители!I9:I12," ",'Текущие цены с учетом расхода'!B9:B12,Начисления!Y9:Y12,0),2)</f>
        <v>0</v>
      </c>
      <c r="G13" s="27"/>
      <c r="H13" s="27"/>
      <c r="I13" s="27"/>
      <c r="J13" s="31"/>
      <c r="K13" s="31"/>
      <c r="L13" s="27"/>
    </row>
    <row r="14" spans="1:12" ht="10.5">
      <c r="A14" s="28">
        <v>5</v>
      </c>
      <c r="B14" s="7" t="s">
        <v>74</v>
      </c>
      <c r="C14" s="32" t="s">
        <v>287</v>
      </c>
      <c r="D14" s="35">
        <v>0</v>
      </c>
      <c r="F14" s="27">
        <f>ROUND(ТРАНСПРАСХОД(Определители!B9:B12,Определители!H9:H12,Определители!I9:I12,'Текущие цены с учетом расхода'!B9:B12,Начисления!Z9:Z12,Начисления!AA9:AA12),2)</f>
        <v>0</v>
      </c>
      <c r="G14" s="27"/>
      <c r="H14" s="27"/>
      <c r="I14" s="27"/>
      <c r="J14" s="31"/>
      <c r="K14" s="31"/>
      <c r="L14" s="27"/>
    </row>
    <row r="15" spans="1:12" ht="10.5">
      <c r="A15" s="28">
        <v>6</v>
      </c>
      <c r="B15" s="7" t="s">
        <v>75</v>
      </c>
      <c r="C15" s="32" t="s">
        <v>287</v>
      </c>
      <c r="D15" s="35">
        <v>0</v>
      </c>
      <c r="F15" s="27">
        <f>ROUND(СУММПРОИЗВЕСЛИ(0.01,Определители!I9:I12," ",'Текущие цены с учетом расхода'!B9:B12,Начисления!AC9:AC12,0),2)</f>
        <v>0</v>
      </c>
      <c r="G15" s="27"/>
      <c r="H15" s="27"/>
      <c r="I15" s="27"/>
      <c r="J15" s="31"/>
      <c r="K15" s="31"/>
      <c r="L15" s="27"/>
    </row>
    <row r="16" spans="1:12" ht="10.5">
      <c r="A16" s="28">
        <v>7</v>
      </c>
      <c r="B16" s="7" t="s">
        <v>76</v>
      </c>
      <c r="C16" s="32" t="s">
        <v>287</v>
      </c>
      <c r="D16" s="35">
        <v>0</v>
      </c>
      <c r="F16" s="27">
        <f>ROUND(СУММПРОИЗВЕСЛИ(0.01,Определители!I9:I12," ",'Текущие цены с учетом расхода'!B9:B12,Начисления!AF9:AF12,0),2)</f>
        <v>0</v>
      </c>
      <c r="G16" s="27"/>
      <c r="H16" s="27"/>
      <c r="I16" s="27"/>
      <c r="J16" s="31"/>
      <c r="K16" s="31"/>
      <c r="L16" s="27"/>
    </row>
    <row r="17" spans="1:12" ht="10.5">
      <c r="A17" s="28">
        <v>8</v>
      </c>
      <c r="B17" s="7" t="s">
        <v>77</v>
      </c>
      <c r="C17" s="32" t="s">
        <v>287</v>
      </c>
      <c r="D17" s="35">
        <v>0</v>
      </c>
      <c r="F17" s="27">
        <f>ROUND(ЗАГОТСКЛАДРАСХОД(Определители!B9:B12,Определители!H9:H12,Определители!I9:I12,'Текущие цены с учетом расхода'!B9:B12,Начисления!X9:X12,Начисления!Y9:Y12,Начисления!Z9:Z12,Начисления!AA9:AA12,Начисления!AB9:AB12,Начисления!AC9:AC12,Начисления!AF9:AF12),2)</f>
        <v>0</v>
      </c>
      <c r="G17" s="27"/>
      <c r="H17" s="27"/>
      <c r="I17" s="27"/>
      <c r="J17" s="31"/>
      <c r="K17" s="31"/>
      <c r="L17" s="27"/>
    </row>
    <row r="18" spans="1:12" ht="10.5">
      <c r="A18" s="28">
        <v>9</v>
      </c>
      <c r="B18" s="7" t="s">
        <v>78</v>
      </c>
      <c r="C18" s="32" t="s">
        <v>287</v>
      </c>
      <c r="D18" s="35">
        <v>0</v>
      </c>
      <c r="F18" s="27">
        <f>ROUND(СУММПРОИЗВЕСЛИ(1,Определители!I9:I12," ",'Текущие цены с учетом расхода'!M9:M12,Начисления!I9:I12,0),2)</f>
        <v>0</v>
      </c>
      <c r="G18" s="27"/>
      <c r="H18" s="27"/>
      <c r="I18" s="27"/>
      <c r="J18" s="31"/>
      <c r="K18" s="31"/>
      <c r="L18" s="27"/>
    </row>
    <row r="19" spans="1:12" ht="10.5">
      <c r="A19" s="28">
        <v>10</v>
      </c>
      <c r="B19" s="7" t="s">
        <v>79</v>
      </c>
      <c r="C19" s="32" t="s">
        <v>288</v>
      </c>
      <c r="D19" s="35">
        <v>0</v>
      </c>
      <c r="F19" s="27">
        <f>ROUND((F18+F29+F49),2)</f>
        <v>0</v>
      </c>
      <c r="G19" s="27"/>
      <c r="H19" s="27"/>
      <c r="I19" s="27"/>
      <c r="J19" s="31"/>
      <c r="K19" s="31"/>
      <c r="L19" s="27"/>
    </row>
    <row r="20" spans="1:12" ht="10.5">
      <c r="A20" s="28">
        <v>11</v>
      </c>
      <c r="B20" s="7" t="s">
        <v>80</v>
      </c>
      <c r="C20" s="32" t="s">
        <v>288</v>
      </c>
      <c r="D20" s="35">
        <v>0</v>
      </c>
      <c r="F20" s="27">
        <f>ROUND((F11+F12+F13+F14+F15+F16+F17+F19),2)</f>
        <v>0</v>
      </c>
      <c r="G20" s="27"/>
      <c r="H20" s="27"/>
      <c r="I20" s="27"/>
      <c r="J20" s="31"/>
      <c r="K20" s="31"/>
      <c r="L20" s="27"/>
    </row>
    <row r="21" spans="1:12" ht="10.5">
      <c r="A21" s="28">
        <v>12</v>
      </c>
      <c r="B21" s="7" t="s">
        <v>81</v>
      </c>
      <c r="C21" s="32" t="s">
        <v>287</v>
      </c>
      <c r="D21" s="35">
        <v>0</v>
      </c>
      <c r="F21" s="27">
        <f>ROUND(SUMIF(Определители!I9:I12,"=1",'Текущие цены с учетом расхода'!B9:B12),2)</f>
        <v>0</v>
      </c>
      <c r="G21" s="27">
        <f>ROUND(SUMIF(Определители!I9:I12,"=1",'Текущие цены с учетом расхода'!C9:C12),2)</f>
        <v>0</v>
      </c>
      <c r="H21" s="27">
        <f>ROUND(SUMIF(Определители!I9:I12,"=1",'Текущие цены с учетом расхода'!D9:D12),2)</f>
        <v>0</v>
      </c>
      <c r="I21" s="27">
        <f>ROUND(SUMIF(Определители!I9:I12,"=1",'Текущие цены с учетом расхода'!E9:E12),2)</f>
        <v>0</v>
      </c>
      <c r="J21" s="31">
        <f>ROUND(SUMIF(Определители!I9:I12,"=1",'Текущие цены с учетом расхода'!I9:I12),8)</f>
        <v>0</v>
      </c>
      <c r="K21" s="31">
        <f>ROUND(SUMIF(Определители!I9:I12,"=1",'Текущие цены с учетом расхода'!K9:K12),8)</f>
        <v>0</v>
      </c>
      <c r="L21" s="27">
        <f>ROUND(SUMIF(Определители!I9:I12,"=1",'Текущие цены с учетом расхода'!F9:F12),2)</f>
        <v>0</v>
      </c>
    </row>
    <row r="22" spans="1:12" ht="10.5">
      <c r="A22" s="28">
        <v>13</v>
      </c>
      <c r="B22" s="7" t="s">
        <v>82</v>
      </c>
      <c r="C22" s="32" t="s">
        <v>287</v>
      </c>
      <c r="D22" s="35">
        <v>0</v>
      </c>
      <c r="F22" s="27"/>
      <c r="G22" s="27"/>
      <c r="H22" s="27"/>
      <c r="I22" s="27"/>
      <c r="J22" s="31"/>
      <c r="K22" s="31"/>
      <c r="L22" s="27"/>
    </row>
    <row r="23" spans="1:12" ht="10.5">
      <c r="A23" s="28">
        <v>14</v>
      </c>
      <c r="B23" s="7" t="s">
        <v>83</v>
      </c>
      <c r="C23" s="32" t="s">
        <v>287</v>
      </c>
      <c r="D23" s="35">
        <v>0</v>
      </c>
      <c r="F23" s="27"/>
      <c r="G23" s="27">
        <f>ROUND(SUMIF(Определители!I9:I12,"=1",'Текущие цены с учетом расхода'!T9:T12),2)</f>
        <v>0</v>
      </c>
      <c r="H23" s="27"/>
      <c r="I23" s="27"/>
      <c r="J23" s="31"/>
      <c r="K23" s="31"/>
      <c r="L23" s="27"/>
    </row>
    <row r="24" spans="1:12" ht="10.5">
      <c r="A24" s="28">
        <v>15</v>
      </c>
      <c r="B24" s="7" t="s">
        <v>84</v>
      </c>
      <c r="C24" s="32" t="s">
        <v>287</v>
      </c>
      <c r="D24" s="35">
        <v>0</v>
      </c>
      <c r="F24" s="27">
        <f>ROUND(SUMIF(Определители!I9:I12,"=1",'Текущие цены с учетом расхода'!U9:U12),2)</f>
        <v>0</v>
      </c>
      <c r="G24" s="27"/>
      <c r="H24" s="27"/>
      <c r="I24" s="27"/>
      <c r="J24" s="31"/>
      <c r="K24" s="31"/>
      <c r="L24" s="27"/>
    </row>
    <row r="25" spans="1:12" ht="10.5">
      <c r="A25" s="28">
        <v>16</v>
      </c>
      <c r="B25" s="7" t="s">
        <v>85</v>
      </c>
      <c r="C25" s="32" t="s">
        <v>287</v>
      </c>
      <c r="D25" s="35">
        <v>0</v>
      </c>
      <c r="F25" s="27">
        <f>ROUND(СУММЕСЛИ2(Определители!I9:I12,"1",Определители!G9:G12,"1",'Текущие цены с учетом расхода'!B9:B12),2)</f>
        <v>0</v>
      </c>
      <c r="G25" s="27"/>
      <c r="H25" s="27"/>
      <c r="I25" s="27"/>
      <c r="J25" s="31"/>
      <c r="K25" s="31"/>
      <c r="L25" s="27"/>
    </row>
    <row r="26" spans="1:12" ht="10.5">
      <c r="A26" s="28">
        <v>17</v>
      </c>
      <c r="B26" s="7" t="s">
        <v>86</v>
      </c>
      <c r="C26" s="32" t="s">
        <v>287</v>
      </c>
      <c r="D26" s="35">
        <v>0</v>
      </c>
      <c r="F26" s="27">
        <f>ROUND(SUMIF(Определители!I9:I12,"=1",'Текущие цены с учетом расхода'!H9:H12),2)</f>
        <v>0</v>
      </c>
      <c r="G26" s="27"/>
      <c r="H26" s="27"/>
      <c r="I26" s="27"/>
      <c r="J26" s="31"/>
      <c r="K26" s="31"/>
      <c r="L26" s="27"/>
    </row>
    <row r="27" spans="1:12" ht="10.5">
      <c r="A27" s="28">
        <v>18</v>
      </c>
      <c r="B27" s="7" t="s">
        <v>87</v>
      </c>
      <c r="C27" s="32" t="s">
        <v>287</v>
      </c>
      <c r="D27" s="35">
        <v>0</v>
      </c>
      <c r="F27" s="27">
        <f>ROUND(SUMIF(Определители!I9:I12,"=1",'Текущие цены с учетом расхода'!N9:N12),2)</f>
        <v>0</v>
      </c>
      <c r="G27" s="27"/>
      <c r="H27" s="27"/>
      <c r="I27" s="27"/>
      <c r="J27" s="31"/>
      <c r="K27" s="31"/>
      <c r="L27" s="27"/>
    </row>
    <row r="28" spans="1:12" ht="10.5">
      <c r="A28" s="28">
        <v>19</v>
      </c>
      <c r="B28" s="7" t="s">
        <v>88</v>
      </c>
      <c r="C28" s="32" t="s">
        <v>287</v>
      </c>
      <c r="D28" s="35">
        <v>0</v>
      </c>
      <c r="F28" s="27">
        <f>ROUND(SUMIF(Определители!I9:I12,"=1",'Текущие цены с учетом расхода'!O9:O12),2)</f>
        <v>0</v>
      </c>
      <c r="G28" s="27"/>
      <c r="H28" s="27"/>
      <c r="I28" s="27"/>
      <c r="J28" s="31"/>
      <c r="K28" s="31"/>
      <c r="L28" s="27"/>
    </row>
    <row r="29" spans="1:12" ht="10.5">
      <c r="A29" s="28">
        <v>20</v>
      </c>
      <c r="B29" s="7" t="s">
        <v>79</v>
      </c>
      <c r="C29" s="32" t="s">
        <v>287</v>
      </c>
      <c r="D29" s="35">
        <v>0</v>
      </c>
      <c r="F29" s="27">
        <f>ROUND(СУММПРОИЗВЕСЛИ(1,Определители!I9:I12," ",'Текущие цены с учетом расхода'!M9:M12,Начисления!I9:I12,0),2)</f>
        <v>0</v>
      </c>
      <c r="G29" s="27"/>
      <c r="H29" s="27"/>
      <c r="I29" s="27"/>
      <c r="J29" s="31"/>
      <c r="K29" s="31"/>
      <c r="L29" s="27"/>
    </row>
    <row r="30" spans="1:12" ht="10.5">
      <c r="A30" s="28">
        <v>21</v>
      </c>
      <c r="B30" s="7" t="s">
        <v>89</v>
      </c>
      <c r="C30" s="32" t="s">
        <v>288</v>
      </c>
      <c r="D30" s="35">
        <v>0</v>
      </c>
      <c r="F30" s="27">
        <f>ROUND((F21+F27+F28),2)</f>
        <v>0</v>
      </c>
      <c r="G30" s="27"/>
      <c r="H30" s="27"/>
      <c r="I30" s="27"/>
      <c r="J30" s="31"/>
      <c r="K30" s="31"/>
      <c r="L30" s="27"/>
    </row>
    <row r="31" spans="1:12" ht="10.5">
      <c r="A31" s="28">
        <v>22</v>
      </c>
      <c r="B31" s="7" t="s">
        <v>90</v>
      </c>
      <c r="C31" s="32" t="s">
        <v>287</v>
      </c>
      <c r="D31" s="35">
        <v>0</v>
      </c>
      <c r="F31" s="27">
        <f>ROUND(SUMIF(Определители!I9:I12,"=2",'Текущие цены с учетом расхода'!B9:B12),2)</f>
        <v>3729.49</v>
      </c>
      <c r="G31" s="27">
        <f>ROUND(SUMIF(Определители!I9:I12,"=2",'Текущие цены с учетом расхода'!C9:C12),2)</f>
        <v>3704.05</v>
      </c>
      <c r="H31" s="27">
        <f>ROUND(SUMIF(Определители!I9:I12,"=2",'Текущие цены с учетом расхода'!D9:D12),2)</f>
        <v>25.44</v>
      </c>
      <c r="I31" s="27">
        <f>ROUND(SUMIF(Определители!I9:I12,"=2",'Текущие цены с учетом расхода'!E9:E12),2)</f>
        <v>23.08</v>
      </c>
      <c r="J31" s="31">
        <f>ROUND(SUMIF(Определители!I9:I12,"=2",'Текущие цены с учетом расхода'!I9:I12),8)</f>
        <v>18.111</v>
      </c>
      <c r="K31" s="31">
        <f>ROUND(SUMIF(Определители!I9:I12,"=2",'Текущие цены с учетом расхода'!K9:K12),8)</f>
        <v>0.065</v>
      </c>
      <c r="L31" s="27">
        <f>ROUND(SUMIF(Определители!I9:I12,"=2",'Текущие цены с учетом расхода'!F9:F12),2)</f>
        <v>0</v>
      </c>
    </row>
    <row r="32" spans="1:12" ht="10.5">
      <c r="A32" s="28">
        <v>23</v>
      </c>
      <c r="B32" s="7" t="s">
        <v>82</v>
      </c>
      <c r="C32" s="32" t="s">
        <v>287</v>
      </c>
      <c r="D32" s="35">
        <v>0</v>
      </c>
      <c r="F32" s="27"/>
      <c r="G32" s="27"/>
      <c r="H32" s="27"/>
      <c r="I32" s="27"/>
      <c r="J32" s="31"/>
      <c r="K32" s="31"/>
      <c r="L32" s="27"/>
    </row>
    <row r="33" spans="1:12" ht="10.5">
      <c r="A33" s="28">
        <v>24</v>
      </c>
      <c r="B33" s="7" t="s">
        <v>91</v>
      </c>
      <c r="C33" s="32" t="s">
        <v>287</v>
      </c>
      <c r="D33" s="35">
        <v>0</v>
      </c>
      <c r="F33" s="27">
        <f>ROUND(СУММЕСЛИ2(Определители!I9:I12,"2",Определители!G9:G12,"1",'Текущие цены с учетом расхода'!B9:B12),2)</f>
        <v>0</v>
      </c>
      <c r="G33" s="27"/>
      <c r="H33" s="27"/>
      <c r="I33" s="27"/>
      <c r="J33" s="31"/>
      <c r="K33" s="31"/>
      <c r="L33" s="27"/>
    </row>
    <row r="34" spans="1:12" ht="10.5">
      <c r="A34" s="28">
        <v>25</v>
      </c>
      <c r="B34" s="7" t="s">
        <v>86</v>
      </c>
      <c r="C34" s="32" t="s">
        <v>287</v>
      </c>
      <c r="D34" s="35">
        <v>0</v>
      </c>
      <c r="F34" s="27">
        <f>ROUND(SUMIF(Определители!I9:I12,"=2",'Текущие цены с учетом расхода'!H9:H12),2)</f>
        <v>0</v>
      </c>
      <c r="G34" s="27"/>
      <c r="H34" s="27"/>
      <c r="I34" s="27"/>
      <c r="J34" s="31"/>
      <c r="K34" s="31"/>
      <c r="L34" s="27"/>
    </row>
    <row r="35" spans="1:12" ht="10.5">
      <c r="A35" s="28">
        <v>26</v>
      </c>
      <c r="B35" s="7" t="s">
        <v>87</v>
      </c>
      <c r="C35" s="32" t="s">
        <v>287</v>
      </c>
      <c r="D35" s="35">
        <v>0</v>
      </c>
      <c r="F35" s="27">
        <f>ROUND(SUMIF(Определители!I9:I12,"=2",'Текущие цены с учетом расхода'!N9:N12),2)</f>
        <v>2981.71</v>
      </c>
      <c r="G35" s="27"/>
      <c r="H35" s="27"/>
      <c r="I35" s="27"/>
      <c r="J35" s="31"/>
      <c r="K35" s="31"/>
      <c r="L35" s="27"/>
    </row>
    <row r="36" spans="1:12" ht="10.5">
      <c r="A36" s="28">
        <v>27</v>
      </c>
      <c r="B36" s="7" t="s">
        <v>88</v>
      </c>
      <c r="C36" s="32" t="s">
        <v>287</v>
      </c>
      <c r="D36" s="35">
        <v>0</v>
      </c>
      <c r="F36" s="27">
        <f>ROUND(SUMIF(Определители!I9:I12,"=2",'Текущие цены с учетом расхода'!O9:O12),2)</f>
        <v>2534.44</v>
      </c>
      <c r="G36" s="27"/>
      <c r="H36" s="27"/>
      <c r="I36" s="27"/>
      <c r="J36" s="31"/>
      <c r="K36" s="31"/>
      <c r="L36" s="27"/>
    </row>
    <row r="37" spans="1:12" ht="10.5">
      <c r="A37" s="28">
        <v>28</v>
      </c>
      <c r="B37" s="7" t="s">
        <v>92</v>
      </c>
      <c r="C37" s="32" t="s">
        <v>288</v>
      </c>
      <c r="D37" s="35">
        <v>0</v>
      </c>
      <c r="F37" s="27">
        <f>ROUND((F31+F35+F36),2)</f>
        <v>9245.64</v>
      </c>
      <c r="G37" s="27"/>
      <c r="H37" s="27"/>
      <c r="I37" s="27"/>
      <c r="J37" s="31"/>
      <c r="K37" s="31"/>
      <c r="L37" s="27"/>
    </row>
    <row r="38" spans="1:12" ht="10.5">
      <c r="A38" s="28">
        <v>29</v>
      </c>
      <c r="B38" s="7" t="s">
        <v>93</v>
      </c>
      <c r="C38" s="32" t="s">
        <v>287</v>
      </c>
      <c r="D38" s="35">
        <v>0</v>
      </c>
      <c r="F38" s="27">
        <f>ROUND(SUMIF(Определители!I9:I12,"=3",'Текущие цены с учетом расхода'!B9:B12),2)</f>
        <v>0</v>
      </c>
      <c r="G38" s="27">
        <f>ROUND(SUMIF(Определители!I9:I12,"=3",'Текущие цены с учетом расхода'!C9:C12),2)</f>
        <v>0</v>
      </c>
      <c r="H38" s="27">
        <f>ROUND(SUMIF(Определители!I9:I12,"=3",'Текущие цены с учетом расхода'!D9:D12),2)</f>
        <v>0</v>
      </c>
      <c r="I38" s="27">
        <f>ROUND(SUMIF(Определители!I9:I12,"=3",'Текущие цены с учетом расхода'!E9:E12),2)</f>
        <v>0</v>
      </c>
      <c r="J38" s="31">
        <f>ROUND(SUMIF(Определители!I9:I12,"=3",'Текущие цены с учетом расхода'!I9:I12),8)</f>
        <v>0</v>
      </c>
      <c r="K38" s="31">
        <f>ROUND(SUMIF(Определители!I9:I12,"=3",'Текущие цены с учетом расхода'!K9:K12),8)</f>
        <v>0</v>
      </c>
      <c r="L38" s="27">
        <f>ROUND(SUMIF(Определители!I9:I12,"=3",'Текущие цены с учетом расхода'!F9:F12),2)</f>
        <v>0</v>
      </c>
    </row>
    <row r="39" spans="1:12" ht="10.5">
      <c r="A39" s="28">
        <v>30</v>
      </c>
      <c r="B39" s="7" t="s">
        <v>86</v>
      </c>
      <c r="C39" s="32" t="s">
        <v>287</v>
      </c>
      <c r="D39" s="35">
        <v>0</v>
      </c>
      <c r="F39" s="27">
        <f>ROUND(SUMIF(Определители!I9:I12,"=3",'Текущие цены с учетом расхода'!H9:H12),2)</f>
        <v>0</v>
      </c>
      <c r="G39" s="27"/>
      <c r="H39" s="27"/>
      <c r="I39" s="27"/>
      <c r="J39" s="31"/>
      <c r="K39" s="31"/>
      <c r="L39" s="27"/>
    </row>
    <row r="40" spans="1:12" ht="10.5">
      <c r="A40" s="28">
        <v>31</v>
      </c>
      <c r="B40" s="7" t="s">
        <v>87</v>
      </c>
      <c r="C40" s="32" t="s">
        <v>287</v>
      </c>
      <c r="D40" s="35">
        <v>0</v>
      </c>
      <c r="F40" s="27">
        <f>ROUND(SUMIF(Определители!I9:I12,"=3",'Текущие цены с учетом расхода'!N9:N12),2)</f>
        <v>0</v>
      </c>
      <c r="G40" s="27"/>
      <c r="H40" s="27"/>
      <c r="I40" s="27"/>
      <c r="J40" s="31"/>
      <c r="K40" s="31"/>
      <c r="L40" s="27"/>
    </row>
    <row r="41" spans="1:12" ht="10.5">
      <c r="A41" s="28">
        <v>32</v>
      </c>
      <c r="B41" s="7" t="s">
        <v>88</v>
      </c>
      <c r="C41" s="32" t="s">
        <v>287</v>
      </c>
      <c r="D41" s="35">
        <v>0</v>
      </c>
      <c r="F41" s="27">
        <f>ROUND(SUMIF(Определители!I9:I12,"=3",'Текущие цены с учетом расхода'!O9:O12),2)</f>
        <v>0</v>
      </c>
      <c r="G41" s="27"/>
      <c r="H41" s="27"/>
      <c r="I41" s="27"/>
      <c r="J41" s="31"/>
      <c r="K41" s="31"/>
      <c r="L41" s="27"/>
    </row>
    <row r="42" spans="1:12" ht="10.5">
      <c r="A42" s="28">
        <v>33</v>
      </c>
      <c r="B42" s="7" t="s">
        <v>94</v>
      </c>
      <c r="C42" s="32" t="s">
        <v>288</v>
      </c>
      <c r="D42" s="35">
        <v>0</v>
      </c>
      <c r="F42" s="27">
        <f>ROUND((F38+F40+F41),2)</f>
        <v>0</v>
      </c>
      <c r="G42" s="27"/>
      <c r="H42" s="27"/>
      <c r="I42" s="27"/>
      <c r="J42" s="31"/>
      <c r="K42" s="31"/>
      <c r="L42" s="27"/>
    </row>
    <row r="43" spans="1:12" ht="10.5">
      <c r="A43" s="28">
        <v>34</v>
      </c>
      <c r="B43" s="7" t="s">
        <v>95</v>
      </c>
      <c r="C43" s="32" t="s">
        <v>287</v>
      </c>
      <c r="D43" s="35">
        <v>0</v>
      </c>
      <c r="F43" s="27">
        <f>ROUND(SUMIF(Определители!I9:I12,"=4",'Текущие цены с учетом расхода'!B9:B12),2)</f>
        <v>0</v>
      </c>
      <c r="G43" s="27">
        <f>ROUND(SUMIF(Определители!I9:I12,"=4",'Текущие цены с учетом расхода'!C9:C12),2)</f>
        <v>0</v>
      </c>
      <c r="H43" s="27">
        <f>ROUND(SUMIF(Определители!I9:I12,"=4",'Текущие цены с учетом расхода'!D9:D12),2)</f>
        <v>0</v>
      </c>
      <c r="I43" s="27">
        <f>ROUND(SUMIF(Определители!I9:I12,"=4",'Текущие цены с учетом расхода'!E9:E12),2)</f>
        <v>0</v>
      </c>
      <c r="J43" s="31">
        <f>ROUND(SUMIF(Определители!I9:I12,"=4",'Текущие цены с учетом расхода'!I9:I12),8)</f>
        <v>0</v>
      </c>
      <c r="K43" s="31">
        <f>ROUND(SUMIF(Определители!I9:I12,"=4",'Текущие цены с учетом расхода'!K9:K12),8)</f>
        <v>0</v>
      </c>
      <c r="L43" s="27">
        <f>ROUND(SUMIF(Определители!I9:I12,"=4",'Текущие цены с учетом расхода'!F9:F12),2)</f>
        <v>0</v>
      </c>
    </row>
    <row r="44" spans="1:12" ht="10.5">
      <c r="A44" s="28">
        <v>35</v>
      </c>
      <c r="B44" s="7" t="s">
        <v>82</v>
      </c>
      <c r="C44" s="32" t="s">
        <v>287</v>
      </c>
      <c r="D44" s="35">
        <v>0</v>
      </c>
      <c r="F44" s="27"/>
      <c r="G44" s="27"/>
      <c r="H44" s="27"/>
      <c r="I44" s="27"/>
      <c r="J44" s="31"/>
      <c r="K44" s="31"/>
      <c r="L44" s="27"/>
    </row>
    <row r="45" spans="1:12" ht="10.5">
      <c r="A45" s="28">
        <v>36</v>
      </c>
      <c r="B45" s="7" t="s">
        <v>96</v>
      </c>
      <c r="C45" s="32" t="s">
        <v>287</v>
      </c>
      <c r="D45" s="35">
        <v>0</v>
      </c>
      <c r="F45" s="27">
        <f>ROUND(SUMIF(Определители!I9:I12,"=4",'Текущие цены с учетом расхода'!AJ9:AJ12),2)</f>
        <v>0</v>
      </c>
      <c r="G45" s="27">
        <f>ROUND(SUMIF(Определители!I9:I12,"=4",'Текущие цены с учетом расхода'!AI9:AI12),2)</f>
        <v>0</v>
      </c>
      <c r="H45" s="27">
        <f>ROUND(SUMIF(Определители!I9:I12,"=4",'Текущие цены с учетом расхода'!AH9:AH12),2)</f>
        <v>0</v>
      </c>
      <c r="I45" s="27">
        <f>ROUND(SUMIF(Определители!I9:I12,"=4",'Текущие цены с учетом расхода'!V9:V12),2)</f>
        <v>0</v>
      </c>
      <c r="J45" s="31"/>
      <c r="K45" s="31"/>
      <c r="L45" s="27"/>
    </row>
    <row r="46" spans="1:12" ht="10.5">
      <c r="A46" s="28">
        <v>37</v>
      </c>
      <c r="B46" s="7" t="s">
        <v>86</v>
      </c>
      <c r="C46" s="32" t="s">
        <v>287</v>
      </c>
      <c r="D46" s="35">
        <v>0</v>
      </c>
      <c r="F46" s="27">
        <f>ROUND(SUMIF(Определители!I9:I12,"=4",'Текущие цены с учетом расхода'!H9:H12),2)</f>
        <v>0</v>
      </c>
      <c r="G46" s="27"/>
      <c r="H46" s="27"/>
      <c r="I46" s="27"/>
      <c r="J46" s="31"/>
      <c r="K46" s="31"/>
      <c r="L46" s="27"/>
    </row>
    <row r="47" spans="1:12" ht="10.5">
      <c r="A47" s="28">
        <v>38</v>
      </c>
      <c r="B47" s="7" t="s">
        <v>87</v>
      </c>
      <c r="C47" s="32" t="s">
        <v>287</v>
      </c>
      <c r="D47" s="35">
        <v>0</v>
      </c>
      <c r="F47" s="27">
        <f>ROUND(SUMIF(Определители!I9:I12,"=4",'Текущие цены с учетом расхода'!N9:N12),2)</f>
        <v>0</v>
      </c>
      <c r="G47" s="27"/>
      <c r="H47" s="27"/>
      <c r="I47" s="27"/>
      <c r="J47" s="31"/>
      <c r="K47" s="31"/>
      <c r="L47" s="27"/>
    </row>
    <row r="48" spans="1:12" ht="10.5">
      <c r="A48" s="28">
        <v>39</v>
      </c>
      <c r="B48" s="7" t="s">
        <v>88</v>
      </c>
      <c r="C48" s="32" t="s">
        <v>287</v>
      </c>
      <c r="D48" s="35">
        <v>0</v>
      </c>
      <c r="F48" s="27">
        <f>ROUND(SUMIF(Определители!I9:I12,"=4",'Текущие цены с учетом расхода'!O9:O12),2)</f>
        <v>0</v>
      </c>
      <c r="G48" s="27"/>
      <c r="H48" s="27"/>
      <c r="I48" s="27"/>
      <c r="J48" s="31"/>
      <c r="K48" s="31"/>
      <c r="L48" s="27"/>
    </row>
    <row r="49" spans="1:12" ht="10.5">
      <c r="A49" s="28">
        <v>40</v>
      </c>
      <c r="B49" s="7" t="s">
        <v>79</v>
      </c>
      <c r="C49" s="32" t="s">
        <v>287</v>
      </c>
      <c r="D49" s="35">
        <v>0</v>
      </c>
      <c r="F49" s="27">
        <f>ROUND(СУММПРОИЗВЕСЛИ(1,Определители!I9:I12," ",'Текущие цены с учетом расхода'!M9:M12,Начисления!I9:I12,0),2)</f>
        <v>0</v>
      </c>
      <c r="G49" s="27"/>
      <c r="H49" s="27"/>
      <c r="I49" s="27"/>
      <c r="J49" s="31"/>
      <c r="K49" s="31"/>
      <c r="L49" s="27"/>
    </row>
    <row r="50" spans="1:12" ht="10.5">
      <c r="A50" s="28">
        <v>41</v>
      </c>
      <c r="B50" s="7" t="s">
        <v>97</v>
      </c>
      <c r="C50" s="32" t="s">
        <v>288</v>
      </c>
      <c r="D50" s="35">
        <v>0</v>
      </c>
      <c r="F50" s="27">
        <f>ROUND((F43+F47+F48),2)</f>
        <v>0</v>
      </c>
      <c r="G50" s="27"/>
      <c r="H50" s="27"/>
      <c r="I50" s="27"/>
      <c r="J50" s="31"/>
      <c r="K50" s="31"/>
      <c r="L50" s="27"/>
    </row>
    <row r="51" spans="1:12" ht="10.5">
      <c r="A51" s="28">
        <v>42</v>
      </c>
      <c r="B51" s="7" t="s">
        <v>98</v>
      </c>
      <c r="C51" s="32" t="s">
        <v>287</v>
      </c>
      <c r="D51" s="35">
        <v>0</v>
      </c>
      <c r="F51" s="27">
        <f>ROUND(SUMIF(Определители!I9:I12,"=5",'Текущие цены с учетом расхода'!B9:B12),2)</f>
        <v>0</v>
      </c>
      <c r="G51" s="27">
        <f>ROUND(SUMIF(Определители!I9:I12,"=5",'Текущие цены с учетом расхода'!C9:C12),2)</f>
        <v>0</v>
      </c>
      <c r="H51" s="27">
        <f>ROUND(SUMIF(Определители!I9:I12,"=5",'Текущие цены с учетом расхода'!D9:D12),2)</f>
        <v>0</v>
      </c>
      <c r="I51" s="27">
        <f>ROUND(SUMIF(Определители!I9:I12,"=5",'Текущие цены с учетом расхода'!E9:E12),2)</f>
        <v>0</v>
      </c>
      <c r="J51" s="31">
        <f>ROUND(SUMIF(Определители!I9:I12,"=5",'Текущие цены с учетом расхода'!I9:I12),8)</f>
        <v>0</v>
      </c>
      <c r="K51" s="31">
        <f>ROUND(SUMIF(Определители!I9:I12,"=5",'Текущие цены с учетом расхода'!K9:K12),8)</f>
        <v>0</v>
      </c>
      <c r="L51" s="27">
        <f>ROUND(SUMIF(Определители!I9:I12,"=5",'Текущие цены с учетом расхода'!F9:F12),2)</f>
        <v>0</v>
      </c>
    </row>
    <row r="52" spans="1:12" ht="10.5">
      <c r="A52" s="28">
        <v>43</v>
      </c>
      <c r="B52" s="7" t="s">
        <v>86</v>
      </c>
      <c r="C52" s="32" t="s">
        <v>287</v>
      </c>
      <c r="D52" s="35">
        <v>0</v>
      </c>
      <c r="F52" s="27">
        <f>ROUND(SUMIF(Определители!I9:I12,"=5",'Текущие цены с учетом расхода'!H9:H12),2)</f>
        <v>0</v>
      </c>
      <c r="G52" s="27"/>
      <c r="H52" s="27"/>
      <c r="I52" s="27"/>
      <c r="J52" s="31"/>
      <c r="K52" s="31"/>
      <c r="L52" s="27"/>
    </row>
    <row r="53" spans="1:12" ht="10.5">
      <c r="A53" s="28">
        <v>44</v>
      </c>
      <c r="B53" s="7" t="s">
        <v>87</v>
      </c>
      <c r="C53" s="32" t="s">
        <v>287</v>
      </c>
      <c r="D53" s="35">
        <v>0</v>
      </c>
      <c r="F53" s="27">
        <f>ROUND(SUMIF(Определители!I9:I12,"=5",'Текущие цены с учетом расхода'!N9:N12),2)</f>
        <v>0</v>
      </c>
      <c r="G53" s="27"/>
      <c r="H53" s="27"/>
      <c r="I53" s="27"/>
      <c r="J53" s="31"/>
      <c r="K53" s="31"/>
      <c r="L53" s="27"/>
    </row>
    <row r="54" spans="1:12" ht="10.5">
      <c r="A54" s="28">
        <v>45</v>
      </c>
      <c r="B54" s="7" t="s">
        <v>88</v>
      </c>
      <c r="C54" s="32" t="s">
        <v>287</v>
      </c>
      <c r="D54" s="35">
        <v>0</v>
      </c>
      <c r="F54" s="27">
        <f>ROUND(SUMIF(Определители!I9:I12,"=5",'Текущие цены с учетом расхода'!O9:O12),2)</f>
        <v>0</v>
      </c>
      <c r="G54" s="27"/>
      <c r="H54" s="27"/>
      <c r="I54" s="27"/>
      <c r="J54" s="31"/>
      <c r="K54" s="31"/>
      <c r="L54" s="27"/>
    </row>
    <row r="55" spans="1:12" ht="10.5">
      <c r="A55" s="28">
        <v>46</v>
      </c>
      <c r="B55" s="7" t="s">
        <v>99</v>
      </c>
      <c r="C55" s="32" t="s">
        <v>288</v>
      </c>
      <c r="D55" s="35">
        <v>0</v>
      </c>
      <c r="F55" s="27">
        <f>ROUND((F51+F53+F54),2)</f>
        <v>0</v>
      </c>
      <c r="G55" s="27"/>
      <c r="H55" s="27"/>
      <c r="I55" s="27"/>
      <c r="J55" s="31"/>
      <c r="K55" s="31"/>
      <c r="L55" s="27"/>
    </row>
    <row r="56" spans="1:12" ht="10.5">
      <c r="A56" s="28">
        <v>47</v>
      </c>
      <c r="B56" s="7" t="s">
        <v>100</v>
      </c>
      <c r="C56" s="32" t="s">
        <v>287</v>
      </c>
      <c r="D56" s="35">
        <v>0</v>
      </c>
      <c r="F56" s="27">
        <f>ROUND(SUMIF(Определители!I9:I12,"=6",'Текущие цены с учетом расхода'!B9:B12),2)</f>
        <v>0</v>
      </c>
      <c r="G56" s="27">
        <f>ROUND(SUMIF(Определители!I9:I12,"=6",'Текущие цены с учетом расхода'!C9:C12),2)</f>
        <v>0</v>
      </c>
      <c r="H56" s="27">
        <f>ROUND(SUMIF(Определители!I9:I12,"=6",'Текущие цены с учетом расхода'!D9:D12),2)</f>
        <v>0</v>
      </c>
      <c r="I56" s="27">
        <f>ROUND(SUMIF(Определители!I9:I12,"=6",'Текущие цены с учетом расхода'!E9:E12),2)</f>
        <v>0</v>
      </c>
      <c r="J56" s="31">
        <f>ROUND(SUMIF(Определители!I9:I12,"=6",'Текущие цены с учетом расхода'!I9:I12),8)</f>
        <v>0</v>
      </c>
      <c r="K56" s="31">
        <f>ROUND(SUMIF(Определители!I9:I12,"=6",'Текущие цены с учетом расхода'!K9:K12),8)</f>
        <v>0</v>
      </c>
      <c r="L56" s="27">
        <f>ROUND(SUMIF(Определители!I9:I12,"=6",'Текущие цены с учетом расхода'!F9:F12),2)</f>
        <v>0</v>
      </c>
    </row>
    <row r="57" spans="1:12" ht="10.5">
      <c r="A57" s="28">
        <v>48</v>
      </c>
      <c r="B57" s="7" t="s">
        <v>86</v>
      </c>
      <c r="C57" s="32" t="s">
        <v>287</v>
      </c>
      <c r="D57" s="35">
        <v>0</v>
      </c>
      <c r="F57" s="27">
        <f>ROUND(SUMIF(Определители!I9:I12,"=6",'Текущие цены с учетом расхода'!H9:H12),2)</f>
        <v>0</v>
      </c>
      <c r="G57" s="27"/>
      <c r="H57" s="27"/>
      <c r="I57" s="27"/>
      <c r="J57" s="31"/>
      <c r="K57" s="31"/>
      <c r="L57" s="27"/>
    </row>
    <row r="58" spans="1:12" ht="10.5">
      <c r="A58" s="28">
        <v>49</v>
      </c>
      <c r="B58" s="7" t="s">
        <v>87</v>
      </c>
      <c r="C58" s="32" t="s">
        <v>287</v>
      </c>
      <c r="D58" s="35">
        <v>0</v>
      </c>
      <c r="F58" s="27">
        <f>ROUND(SUMIF(Определители!I9:I12,"=6",'Текущие цены с учетом расхода'!N9:N12),2)</f>
        <v>0</v>
      </c>
      <c r="G58" s="27"/>
      <c r="H58" s="27"/>
      <c r="I58" s="27"/>
      <c r="J58" s="31"/>
      <c r="K58" s="31"/>
      <c r="L58" s="27"/>
    </row>
    <row r="59" spans="1:12" ht="10.5">
      <c r="A59" s="28">
        <v>50</v>
      </c>
      <c r="B59" s="7" t="s">
        <v>88</v>
      </c>
      <c r="C59" s="32" t="s">
        <v>287</v>
      </c>
      <c r="D59" s="35">
        <v>0</v>
      </c>
      <c r="F59" s="27">
        <f>ROUND(SUMIF(Определители!I9:I12,"=6",'Текущие цены с учетом расхода'!O9:O12),2)</f>
        <v>0</v>
      </c>
      <c r="G59" s="27"/>
      <c r="H59" s="27"/>
      <c r="I59" s="27"/>
      <c r="J59" s="31"/>
      <c r="K59" s="31"/>
      <c r="L59" s="27"/>
    </row>
    <row r="60" spans="1:12" ht="10.5">
      <c r="A60" s="28">
        <v>51</v>
      </c>
      <c r="B60" s="7" t="s">
        <v>101</v>
      </c>
      <c r="C60" s="32" t="s">
        <v>288</v>
      </c>
      <c r="D60" s="35">
        <v>0</v>
      </c>
      <c r="F60" s="27">
        <f>ROUND((F56+F58+F59),2)</f>
        <v>0</v>
      </c>
      <c r="G60" s="27"/>
      <c r="H60" s="27"/>
      <c r="I60" s="27"/>
      <c r="J60" s="31"/>
      <c r="K60" s="31"/>
      <c r="L60" s="27"/>
    </row>
    <row r="61" spans="1:12" ht="10.5">
      <c r="A61" s="28">
        <v>52</v>
      </c>
      <c r="B61" s="7" t="s">
        <v>102</v>
      </c>
      <c r="C61" s="32" t="s">
        <v>287</v>
      </c>
      <c r="D61" s="35">
        <v>0</v>
      </c>
      <c r="F61" s="27">
        <f>ROUND(SUMIF(Определители!I9:I12,"=7",'Текущие цены с учетом расхода'!B9:B12),2)</f>
        <v>0</v>
      </c>
      <c r="G61" s="27">
        <f>ROUND(SUMIF(Определители!I9:I12,"=7",'Текущие цены с учетом расхода'!C9:C12),2)</f>
        <v>0</v>
      </c>
      <c r="H61" s="27">
        <f>ROUND(SUMIF(Определители!I9:I12,"=7",'Текущие цены с учетом расхода'!D9:D12),2)</f>
        <v>0</v>
      </c>
      <c r="I61" s="27">
        <f>ROUND(SUMIF(Определители!I9:I12,"=7",'Текущие цены с учетом расхода'!E9:E12),2)</f>
        <v>0</v>
      </c>
      <c r="J61" s="31">
        <f>ROUND(SUMIF(Определители!I9:I12,"=7",'Текущие цены с учетом расхода'!I9:I12),8)</f>
        <v>0</v>
      </c>
      <c r="K61" s="31">
        <f>ROUND(SUMIF(Определители!I9:I12,"=7",'Текущие цены с учетом расхода'!K9:K12),8)</f>
        <v>0</v>
      </c>
      <c r="L61" s="27">
        <f>ROUND(SUMIF(Определители!I9:I12,"=7",'Текущие цены с учетом расхода'!F9:F12),2)</f>
        <v>0</v>
      </c>
    </row>
    <row r="62" spans="1:12" ht="10.5">
      <c r="A62" s="28">
        <v>53</v>
      </c>
      <c r="B62" s="7" t="s">
        <v>82</v>
      </c>
      <c r="C62" s="32" t="s">
        <v>287</v>
      </c>
      <c r="D62" s="35">
        <v>0</v>
      </c>
      <c r="F62" s="27"/>
      <c r="G62" s="27"/>
      <c r="H62" s="27"/>
      <c r="I62" s="27"/>
      <c r="J62" s="31"/>
      <c r="K62" s="31"/>
      <c r="L62" s="27"/>
    </row>
    <row r="63" spans="1:12" ht="10.5">
      <c r="A63" s="28">
        <v>54</v>
      </c>
      <c r="B63" s="7" t="s">
        <v>91</v>
      </c>
      <c r="C63" s="32" t="s">
        <v>287</v>
      </c>
      <c r="D63" s="35">
        <v>0</v>
      </c>
      <c r="F63" s="27">
        <f>ROUND(СУММЕСЛИ2(Определители!I9:I12,"2",Определители!G9:G12,"1",'Текущие цены с учетом расхода'!B9:B12),2)</f>
        <v>0</v>
      </c>
      <c r="G63" s="27"/>
      <c r="H63" s="27"/>
      <c r="I63" s="27"/>
      <c r="J63" s="31"/>
      <c r="K63" s="31"/>
      <c r="L63" s="27"/>
    </row>
    <row r="64" spans="1:12" ht="10.5">
      <c r="A64" s="28">
        <v>55</v>
      </c>
      <c r="B64" s="7" t="s">
        <v>86</v>
      </c>
      <c r="C64" s="32" t="s">
        <v>287</v>
      </c>
      <c r="D64" s="35">
        <v>0</v>
      </c>
      <c r="F64" s="27">
        <f>ROUND(SUMIF(Определители!I9:I12,"=7",'Текущие цены с учетом расхода'!H9:H12),2)</f>
        <v>0</v>
      </c>
      <c r="G64" s="27"/>
      <c r="H64" s="27"/>
      <c r="I64" s="27"/>
      <c r="J64" s="31"/>
      <c r="K64" s="31"/>
      <c r="L64" s="27"/>
    </row>
    <row r="65" spans="1:12" ht="10.5">
      <c r="A65" s="28">
        <v>56</v>
      </c>
      <c r="B65" s="7" t="s">
        <v>87</v>
      </c>
      <c r="C65" s="32" t="s">
        <v>287</v>
      </c>
      <c r="D65" s="35">
        <v>0</v>
      </c>
      <c r="F65" s="27">
        <f>ROUND(SUMIF(Определители!I9:I12,"=7",'Текущие цены с учетом расхода'!N9:N12),2)</f>
        <v>0</v>
      </c>
      <c r="G65" s="27"/>
      <c r="H65" s="27"/>
      <c r="I65" s="27"/>
      <c r="J65" s="31"/>
      <c r="K65" s="31"/>
      <c r="L65" s="27"/>
    </row>
    <row r="66" spans="1:12" ht="10.5">
      <c r="A66" s="28">
        <v>57</v>
      </c>
      <c r="B66" s="7" t="s">
        <v>88</v>
      </c>
      <c r="C66" s="32" t="s">
        <v>287</v>
      </c>
      <c r="D66" s="35">
        <v>0</v>
      </c>
      <c r="F66" s="27">
        <f>ROUND(SUMIF(Определители!I9:I12,"=7",'Текущие цены с учетом расхода'!O9:O12),2)</f>
        <v>0</v>
      </c>
      <c r="G66" s="27"/>
      <c r="H66" s="27"/>
      <c r="I66" s="27"/>
      <c r="J66" s="31"/>
      <c r="K66" s="31"/>
      <c r="L66" s="27"/>
    </row>
    <row r="67" spans="1:12" ht="10.5">
      <c r="A67" s="28">
        <v>58</v>
      </c>
      <c r="B67" s="7" t="s">
        <v>103</v>
      </c>
      <c r="C67" s="32" t="s">
        <v>288</v>
      </c>
      <c r="D67" s="35">
        <v>0</v>
      </c>
      <c r="F67" s="27">
        <f>ROUND((F61+F65+F66),2)</f>
        <v>0</v>
      </c>
      <c r="G67" s="27"/>
      <c r="H67" s="27"/>
      <c r="I67" s="27"/>
      <c r="J67" s="31"/>
      <c r="K67" s="31"/>
      <c r="L67" s="27"/>
    </row>
    <row r="68" spans="1:12" ht="10.5">
      <c r="A68" s="28">
        <v>59</v>
      </c>
      <c r="B68" s="7" t="s">
        <v>104</v>
      </c>
      <c r="C68" s="32" t="s">
        <v>287</v>
      </c>
      <c r="D68" s="35">
        <v>0</v>
      </c>
      <c r="F68" s="27">
        <f>ROUND(SUMIF(Определители!I9:I12,"=;",'Текущие цены с учетом расхода'!B9:B12),2)</f>
        <v>0</v>
      </c>
      <c r="G68" s="27">
        <f>ROUND(SUMIF(Определители!I9:I12,"=;",'Текущие цены с учетом расхода'!C9:C12),2)</f>
        <v>0</v>
      </c>
      <c r="H68" s="27">
        <f>ROUND(SUMIF(Определители!I9:I12,"=;",'Текущие цены с учетом расхода'!D9:D12),2)</f>
        <v>0</v>
      </c>
      <c r="I68" s="27">
        <f>ROUND(SUMIF(Определители!I9:I12,"=;",'Текущие цены с учетом расхода'!E9:E12),2)</f>
        <v>0</v>
      </c>
      <c r="J68" s="31">
        <f>ROUND(SUMIF(Определители!I9:I12,"=;",'Текущие цены с учетом расхода'!I9:I12),8)</f>
        <v>0</v>
      </c>
      <c r="K68" s="31">
        <f>ROUND(SUMIF(Определители!I9:I12,"=;",'Текущие цены с учетом расхода'!K9:K12),8)</f>
        <v>0</v>
      </c>
      <c r="L68" s="27">
        <f>ROUND(SUMIF(Определители!I9:I12,"=;",'Текущие цены с учетом расхода'!F9:F12),2)</f>
        <v>0</v>
      </c>
    </row>
    <row r="69" spans="1:12" ht="10.5">
      <c r="A69" s="28">
        <v>60</v>
      </c>
      <c r="B69" s="7" t="s">
        <v>105</v>
      </c>
      <c r="C69" s="32" t="s">
        <v>287</v>
      </c>
      <c r="D69" s="35">
        <v>0</v>
      </c>
      <c r="F69" s="27">
        <f>ROUND(SUMIF(Определители!I9:I12,"=;",'Текущие цены с учетом расхода'!AF9:AF12),2)</f>
        <v>0</v>
      </c>
      <c r="G69" s="27"/>
      <c r="H69" s="27"/>
      <c r="I69" s="27"/>
      <c r="J69" s="31"/>
      <c r="K69" s="31"/>
      <c r="L69" s="27"/>
    </row>
    <row r="70" spans="1:12" ht="10.5">
      <c r="A70" s="28">
        <v>61</v>
      </c>
      <c r="B70" s="7" t="s">
        <v>106</v>
      </c>
      <c r="C70" s="32" t="s">
        <v>287</v>
      </c>
      <c r="D70" s="35">
        <v>0</v>
      </c>
      <c r="F70" s="27">
        <f>ROUND(SUMIF(Определители!I9:I12,"=;",'Текущие цены с учетом расхода'!AG9:AG12),2)</f>
        <v>0</v>
      </c>
      <c r="G70" s="27"/>
      <c r="H70" s="27"/>
      <c r="I70" s="27"/>
      <c r="J70" s="31"/>
      <c r="K70" s="31"/>
      <c r="L70" s="27"/>
    </row>
    <row r="71" spans="1:12" ht="10.5">
      <c r="A71" s="28">
        <v>62</v>
      </c>
      <c r="B71" s="7" t="s">
        <v>87</v>
      </c>
      <c r="C71" s="32" t="s">
        <v>287</v>
      </c>
      <c r="D71" s="35">
        <v>0</v>
      </c>
      <c r="F71" s="27">
        <f>ROUND(SUMIF(Определители!I9:I12,"=;",'Текущие цены с учетом расхода'!N9:N12),2)</f>
        <v>0</v>
      </c>
      <c r="G71" s="27"/>
      <c r="H71" s="27"/>
      <c r="I71" s="27"/>
      <c r="J71" s="31"/>
      <c r="K71" s="31"/>
      <c r="L71" s="27"/>
    </row>
    <row r="72" spans="1:12" ht="10.5">
      <c r="A72" s="28">
        <v>63</v>
      </c>
      <c r="B72" s="7" t="s">
        <v>88</v>
      </c>
      <c r="C72" s="32" t="s">
        <v>287</v>
      </c>
      <c r="D72" s="35">
        <v>0</v>
      </c>
      <c r="F72" s="27">
        <f>ROUND(SUMIF(Определители!I9:I12,"=;",'Текущие цены с учетом расхода'!O9:O12),2)</f>
        <v>0</v>
      </c>
      <c r="G72" s="27"/>
      <c r="H72" s="27"/>
      <c r="I72" s="27"/>
      <c r="J72" s="31"/>
      <c r="K72" s="31"/>
      <c r="L72" s="27"/>
    </row>
    <row r="73" spans="1:12" ht="10.5">
      <c r="A73" s="28">
        <v>64</v>
      </c>
      <c r="B73" s="7" t="s">
        <v>107</v>
      </c>
      <c r="C73" s="32" t="s">
        <v>288</v>
      </c>
      <c r="D73" s="35">
        <v>0</v>
      </c>
      <c r="F73" s="27">
        <f>ROUND((F68+F71+F72),2)</f>
        <v>0</v>
      </c>
      <c r="G73" s="27"/>
      <c r="H73" s="27"/>
      <c r="I73" s="27"/>
      <c r="J73" s="31"/>
      <c r="K73" s="31"/>
      <c r="L73" s="27"/>
    </row>
    <row r="74" spans="1:12" ht="10.5">
      <c r="A74" s="28">
        <v>65</v>
      </c>
      <c r="B74" s="7" t="s">
        <v>108</v>
      </c>
      <c r="C74" s="32" t="s">
        <v>287</v>
      </c>
      <c r="D74" s="35">
        <v>0</v>
      </c>
      <c r="F74" s="27">
        <f>ROUND(SUMIF(Определители!I9:I12,"=9",'Текущие цены с учетом расхода'!B9:B12),2)</f>
        <v>0</v>
      </c>
      <c r="G74" s="27">
        <f>ROUND(SUMIF(Определители!I9:I12,"=9",'Текущие цены с учетом расхода'!C9:C12),2)</f>
        <v>0</v>
      </c>
      <c r="H74" s="27">
        <f>ROUND(SUMIF(Определители!I9:I12,"=9",'Текущие цены с учетом расхода'!D9:D12),2)</f>
        <v>0</v>
      </c>
      <c r="I74" s="27">
        <f>ROUND(SUMIF(Определители!I9:I12,"=9",'Текущие цены с учетом расхода'!E9:E12),2)</f>
        <v>0</v>
      </c>
      <c r="J74" s="31">
        <f>ROUND(SUMIF(Определители!I9:I12,"=9",'Текущие цены с учетом расхода'!I9:I12),8)</f>
        <v>0</v>
      </c>
      <c r="K74" s="31">
        <f>ROUND(SUMIF(Определители!I9:I12,"=9",'Текущие цены с учетом расхода'!K9:K12),8)</f>
        <v>0</v>
      </c>
      <c r="L74" s="27">
        <f>ROUND(SUMIF(Определители!I9:I12,"=9",'Текущие цены с учетом расхода'!F9:F12),2)</f>
        <v>0</v>
      </c>
    </row>
    <row r="75" spans="1:12" ht="10.5">
      <c r="A75" s="28">
        <v>66</v>
      </c>
      <c r="B75" s="7" t="s">
        <v>87</v>
      </c>
      <c r="C75" s="32" t="s">
        <v>287</v>
      </c>
      <c r="D75" s="35">
        <v>0</v>
      </c>
      <c r="F75" s="27">
        <f>ROUND(SUMIF(Определители!I9:I12,"=9",'Текущие цены с учетом расхода'!N9:N12),2)</f>
        <v>0</v>
      </c>
      <c r="G75" s="27"/>
      <c r="H75" s="27"/>
      <c r="I75" s="27"/>
      <c r="J75" s="31"/>
      <c r="K75" s="31"/>
      <c r="L75" s="27"/>
    </row>
    <row r="76" spans="1:12" ht="10.5">
      <c r="A76" s="28">
        <v>67</v>
      </c>
      <c r="B76" s="7" t="s">
        <v>88</v>
      </c>
      <c r="C76" s="32" t="s">
        <v>287</v>
      </c>
      <c r="D76" s="35">
        <v>0</v>
      </c>
      <c r="F76" s="27">
        <f>ROUND(SUMIF(Определители!I9:I12,"=9",'Текущие цены с учетом расхода'!O9:O12),2)</f>
        <v>0</v>
      </c>
      <c r="G76" s="27"/>
      <c r="H76" s="27"/>
      <c r="I76" s="27"/>
      <c r="J76" s="31"/>
      <c r="K76" s="31"/>
      <c r="L76" s="27"/>
    </row>
    <row r="77" spans="1:12" ht="10.5">
      <c r="A77" s="28">
        <v>68</v>
      </c>
      <c r="B77" s="7" t="s">
        <v>109</v>
      </c>
      <c r="C77" s="32" t="s">
        <v>288</v>
      </c>
      <c r="D77" s="35">
        <v>0</v>
      </c>
      <c r="F77" s="27">
        <f>ROUND((F74+F75+F76),2)</f>
        <v>0</v>
      </c>
      <c r="G77" s="27"/>
      <c r="H77" s="27"/>
      <c r="I77" s="27"/>
      <c r="J77" s="31"/>
      <c r="K77" s="31"/>
      <c r="L77" s="27"/>
    </row>
    <row r="78" spans="1:12" ht="10.5">
      <c r="A78" s="28">
        <v>69</v>
      </c>
      <c r="B78" s="7" t="s">
        <v>110</v>
      </c>
      <c r="C78" s="32" t="s">
        <v>287</v>
      </c>
      <c r="D78" s="35">
        <v>0</v>
      </c>
      <c r="F78" s="27">
        <f>ROUND(SUMIF(Определители!I9:I12,"=:",'Текущие цены с учетом расхода'!B9:B12),2)</f>
        <v>0</v>
      </c>
      <c r="G78" s="27">
        <f>ROUND(SUMIF(Определители!I9:I12,"=:",'Текущие цены с учетом расхода'!C9:C12),2)</f>
        <v>0</v>
      </c>
      <c r="H78" s="27">
        <f>ROUND(SUMIF(Определители!I9:I12,"=:",'Текущие цены с учетом расхода'!D9:D12),2)</f>
        <v>0</v>
      </c>
      <c r="I78" s="27">
        <f>ROUND(SUMIF(Определители!I9:I12,"=:",'Текущие цены с учетом расхода'!E9:E12),2)</f>
        <v>0</v>
      </c>
      <c r="J78" s="31">
        <f>ROUND(SUMIF(Определители!I9:I12,"=:",'Текущие цены с учетом расхода'!I9:I12),8)</f>
        <v>0</v>
      </c>
      <c r="K78" s="31">
        <f>ROUND(SUMIF(Определители!I9:I12,"=:",'Текущие цены с учетом расхода'!K9:K12),8)</f>
        <v>0</v>
      </c>
      <c r="L78" s="27">
        <f>ROUND(SUMIF(Определители!I9:I12,"=:",'Текущие цены с учетом расхода'!F9:F12),2)</f>
        <v>0</v>
      </c>
    </row>
    <row r="79" spans="1:12" ht="10.5">
      <c r="A79" s="28">
        <v>70</v>
      </c>
      <c r="B79" s="7" t="s">
        <v>86</v>
      </c>
      <c r="C79" s="32" t="s">
        <v>287</v>
      </c>
      <c r="D79" s="35">
        <v>0</v>
      </c>
      <c r="F79" s="27">
        <f>ROUND(SUMIF(Определители!I9:I12,"=:",'Текущие цены с учетом расхода'!H9:H12),2)</f>
        <v>0</v>
      </c>
      <c r="G79" s="27"/>
      <c r="H79" s="27"/>
      <c r="I79" s="27"/>
      <c r="J79" s="31"/>
      <c r="K79" s="31"/>
      <c r="L79" s="27"/>
    </row>
    <row r="80" spans="1:12" ht="10.5">
      <c r="A80" s="28">
        <v>71</v>
      </c>
      <c r="B80" s="7" t="s">
        <v>87</v>
      </c>
      <c r="C80" s="32" t="s">
        <v>287</v>
      </c>
      <c r="D80" s="35">
        <v>0</v>
      </c>
      <c r="F80" s="27">
        <f>ROUND(SUMIF(Определители!I9:I12,"=:",'Текущие цены с учетом расхода'!N9:N12),2)</f>
        <v>0</v>
      </c>
      <c r="G80" s="27"/>
      <c r="H80" s="27"/>
      <c r="I80" s="27"/>
      <c r="J80" s="31"/>
      <c r="K80" s="31"/>
      <c r="L80" s="27"/>
    </row>
    <row r="81" spans="1:12" ht="10.5">
      <c r="A81" s="28">
        <v>72</v>
      </c>
      <c r="B81" s="7" t="s">
        <v>88</v>
      </c>
      <c r="C81" s="32" t="s">
        <v>287</v>
      </c>
      <c r="D81" s="35">
        <v>0</v>
      </c>
      <c r="F81" s="27">
        <f>ROUND(SUMIF(Определители!I9:I12,"=:",'Текущие цены с учетом расхода'!O9:O12),2)</f>
        <v>0</v>
      </c>
      <c r="G81" s="27"/>
      <c r="H81" s="27"/>
      <c r="I81" s="27"/>
      <c r="J81" s="31"/>
      <c r="K81" s="31"/>
      <c r="L81" s="27"/>
    </row>
    <row r="82" spans="1:12" ht="10.5">
      <c r="A82" s="28">
        <v>73</v>
      </c>
      <c r="B82" s="7" t="s">
        <v>111</v>
      </c>
      <c r="C82" s="32" t="s">
        <v>288</v>
      </c>
      <c r="D82" s="35">
        <v>0</v>
      </c>
      <c r="F82" s="27">
        <f>ROUND((F78+F80+F81),2)</f>
        <v>0</v>
      </c>
      <c r="G82" s="27"/>
      <c r="H82" s="27"/>
      <c r="I82" s="27"/>
      <c r="J82" s="31"/>
      <c r="K82" s="31"/>
      <c r="L82" s="27"/>
    </row>
    <row r="83" spans="1:12" ht="10.5">
      <c r="A83" s="28">
        <v>74</v>
      </c>
      <c r="B83" s="7" t="s">
        <v>112</v>
      </c>
      <c r="C83" s="32" t="s">
        <v>287</v>
      </c>
      <c r="D83" s="35">
        <v>0</v>
      </c>
      <c r="F83" s="27">
        <f>ROUND(SUMIF(Определители!I9:I12,"=8",'Текущие цены с учетом расхода'!B9:B12),2)</f>
        <v>0</v>
      </c>
      <c r="G83" s="27">
        <f>ROUND(SUMIF(Определители!I9:I12,"=8",'Текущие цены с учетом расхода'!C9:C12),2)</f>
        <v>0</v>
      </c>
      <c r="H83" s="27">
        <f>ROUND(SUMIF(Определители!I9:I12,"=8",'Текущие цены с учетом расхода'!D9:D12),2)</f>
        <v>0</v>
      </c>
      <c r="I83" s="27">
        <f>ROUND(SUMIF(Определители!I9:I12,"=8",'Текущие цены с учетом расхода'!E9:E12),2)</f>
        <v>0</v>
      </c>
      <c r="J83" s="31">
        <f>ROUND(SUMIF(Определители!I9:I12,"=8",'Текущие цены с учетом расхода'!I9:I12),8)</f>
        <v>0</v>
      </c>
      <c r="K83" s="31">
        <f>ROUND(SUMIF(Определители!I9:I12,"=8",'Текущие цены с учетом расхода'!K9:K12),8)</f>
        <v>0</v>
      </c>
      <c r="L83" s="27">
        <f>ROUND(SUMIF(Определители!I9:I12,"=8",'Текущие цены с учетом расхода'!F9:F12),2)</f>
        <v>0</v>
      </c>
    </row>
    <row r="84" spans="1:12" ht="10.5">
      <c r="A84" s="28">
        <v>75</v>
      </c>
      <c r="B84" s="7" t="s">
        <v>86</v>
      </c>
      <c r="C84" s="32" t="s">
        <v>287</v>
      </c>
      <c r="D84" s="35">
        <v>0</v>
      </c>
      <c r="F84" s="27">
        <f>ROUND(SUMIF(Определители!I9:I12,"=8",'Текущие цены с учетом расхода'!H9:H12),2)</f>
        <v>0</v>
      </c>
      <c r="G84" s="27"/>
      <c r="H84" s="27"/>
      <c r="I84" s="27"/>
      <c r="J84" s="31"/>
      <c r="K84" s="31"/>
      <c r="L84" s="27"/>
    </row>
    <row r="85" spans="1:12" ht="10.5">
      <c r="A85" s="28">
        <v>76</v>
      </c>
      <c r="B85" s="7" t="s">
        <v>171</v>
      </c>
      <c r="C85" s="32" t="s">
        <v>288</v>
      </c>
      <c r="D85" s="35">
        <v>0</v>
      </c>
      <c r="F85" s="27">
        <f>ROUND((F20+F30+F37+F42+F50+F55+F60+F67+F77+F82+F83+F73),2)</f>
        <v>9245.64</v>
      </c>
      <c r="G85" s="27">
        <f>ROUND((G20+G30+G37+G42+G50+G55+G60+G67+G77+G82+G83+G73),2)</f>
        <v>0</v>
      </c>
      <c r="H85" s="27">
        <f>ROUND((H20+H30+H37+H42+H50+H55+H60+H67+H77+H82+H83+H73),2)</f>
        <v>0</v>
      </c>
      <c r="I85" s="27">
        <f>ROUND((I20+I30+I37+I42+I50+I55+I60+I67+I77+I82+I83+I73),2)</f>
        <v>0</v>
      </c>
      <c r="J85" s="31">
        <f>ROUND((J20+J30+J37+J42+J50+J55+J60+J67+J77+J82+J83+J73),8)</f>
        <v>0</v>
      </c>
      <c r="K85" s="31">
        <f>ROUND((K20+K30+K37+K42+K50+K55+K60+K67+K77+K82+K83+K73),8)</f>
        <v>0</v>
      </c>
      <c r="L85" s="27">
        <f>ROUND((L20+L30+L37+L42+L50+L55+L60+L67+L77+L82+L83+L73),2)</f>
        <v>0</v>
      </c>
    </row>
    <row r="86" spans="1:12" ht="10.5">
      <c r="A86" s="28">
        <v>77</v>
      </c>
      <c r="B86" s="7" t="s">
        <v>113</v>
      </c>
      <c r="C86" s="32" t="s">
        <v>288</v>
      </c>
      <c r="D86" s="35">
        <v>0</v>
      </c>
      <c r="F86" s="27">
        <f>ROUND((F26+F34+F39+F46+F52+F57+F64+F79+F84),2)</f>
        <v>0</v>
      </c>
      <c r="G86" s="27"/>
      <c r="H86" s="27"/>
      <c r="I86" s="27"/>
      <c r="J86" s="31"/>
      <c r="K86" s="31"/>
      <c r="L86" s="27"/>
    </row>
    <row r="87" spans="1:12" ht="10.5">
      <c r="A87" s="28">
        <v>78</v>
      </c>
      <c r="B87" s="7" t="s">
        <v>114</v>
      </c>
      <c r="C87" s="32" t="s">
        <v>288</v>
      </c>
      <c r="D87" s="35">
        <v>0</v>
      </c>
      <c r="F87" s="27">
        <f>ROUND((F27+F35+F40+F47+F53+F58+F65+F75+F80+F71),2)</f>
        <v>2981.71</v>
      </c>
      <c r="G87" s="27"/>
      <c r="H87" s="27"/>
      <c r="I87" s="27"/>
      <c r="J87" s="31"/>
      <c r="K87" s="31"/>
      <c r="L87" s="27"/>
    </row>
    <row r="88" spans="1:12" ht="10.5">
      <c r="A88" s="28">
        <v>79</v>
      </c>
      <c r="B88" s="7" t="s">
        <v>115</v>
      </c>
      <c r="C88" s="32" t="s">
        <v>288</v>
      </c>
      <c r="D88" s="35">
        <v>0</v>
      </c>
      <c r="F88" s="27">
        <f>ROUND((F28+F36+F41+F48+F54+F59+F66+F76+F81+F72),2)</f>
        <v>2534.44</v>
      </c>
      <c r="G88" s="27"/>
      <c r="H88" s="27"/>
      <c r="I88" s="27"/>
      <c r="J88" s="31"/>
      <c r="K88" s="31"/>
      <c r="L88" s="27"/>
    </row>
    <row r="89" spans="1:12" ht="10.5">
      <c r="A89" s="28">
        <v>80</v>
      </c>
      <c r="B89" s="7" t="s">
        <v>38</v>
      </c>
      <c r="C89" s="32" t="s">
        <v>289</v>
      </c>
      <c r="D89" s="35">
        <v>0</v>
      </c>
      <c r="F89" s="27">
        <f>ROUND(SUM('Текущие цены с учетом расхода'!X9:X12),2)</f>
        <v>0</v>
      </c>
      <c r="G89" s="27"/>
      <c r="H89" s="27"/>
      <c r="I89" s="27"/>
      <c r="J89" s="31"/>
      <c r="K89" s="31"/>
      <c r="L89" s="27">
        <f>ROUND(SUM('Текущие цены с учетом расхода'!X9:X12),2)</f>
        <v>0</v>
      </c>
    </row>
    <row r="90" spans="1:12" ht="10.5">
      <c r="A90" s="28">
        <v>81</v>
      </c>
      <c r="B90" s="7" t="s">
        <v>116</v>
      </c>
      <c r="C90" s="32" t="s">
        <v>289</v>
      </c>
      <c r="D90" s="35">
        <v>0</v>
      </c>
      <c r="F90" s="27">
        <f>ROUND(SUM(G90:N90),2)</f>
        <v>0</v>
      </c>
      <c r="G90" s="27"/>
      <c r="H90" s="27"/>
      <c r="I90" s="27"/>
      <c r="J90" s="31"/>
      <c r="K90" s="31"/>
      <c r="L90" s="27">
        <f>ROUND(SUM('Текущие цены с учетом расхода'!AE9:AE12),2)</f>
        <v>0</v>
      </c>
    </row>
    <row r="91" spans="1:12" ht="10.5">
      <c r="A91" s="28">
        <v>82</v>
      </c>
      <c r="B91" s="7" t="s">
        <v>117</v>
      </c>
      <c r="C91" s="32" t="s">
        <v>289</v>
      </c>
      <c r="D91" s="35">
        <v>0</v>
      </c>
      <c r="F91" s="27">
        <f>ROUND(SUM('Текущие цены с учетом расхода'!C9:C12),2)</f>
        <v>3704.05</v>
      </c>
      <c r="G91" s="27"/>
      <c r="H91" s="27"/>
      <c r="I91" s="27"/>
      <c r="J91" s="31"/>
      <c r="K91" s="31"/>
      <c r="L91" s="27"/>
    </row>
    <row r="92" spans="1:12" ht="10.5">
      <c r="A92" s="28">
        <v>83</v>
      </c>
      <c r="B92" s="7" t="s">
        <v>118</v>
      </c>
      <c r="C92" s="32" t="s">
        <v>289</v>
      </c>
      <c r="D92" s="35">
        <v>0</v>
      </c>
      <c r="F92" s="27">
        <f>ROUND(SUM('Текущие цены с учетом расхода'!E9:E12),2)</f>
        <v>23.08</v>
      </c>
      <c r="G92" s="27"/>
      <c r="H92" s="27"/>
      <c r="I92" s="27"/>
      <c r="J92" s="31"/>
      <c r="K92" s="31"/>
      <c r="L92" s="27"/>
    </row>
    <row r="93" spans="1:12" ht="10.5">
      <c r="A93" s="28">
        <v>84</v>
      </c>
      <c r="B93" s="7" t="s">
        <v>119</v>
      </c>
      <c r="C93" s="32" t="s">
        <v>290</v>
      </c>
      <c r="D93" s="35">
        <v>0</v>
      </c>
      <c r="F93" s="27">
        <f>ROUND((F91+F92),2)</f>
        <v>3727.13</v>
      </c>
      <c r="G93" s="27"/>
      <c r="H93" s="27"/>
      <c r="I93" s="27"/>
      <c r="J93" s="31"/>
      <c r="K93" s="31"/>
      <c r="L93" s="27"/>
    </row>
    <row r="94" spans="1:12" ht="10.5">
      <c r="A94" s="28">
        <v>85</v>
      </c>
      <c r="B94" s="7" t="s">
        <v>120</v>
      </c>
      <c r="C94" s="32" t="s">
        <v>289</v>
      </c>
      <c r="D94" s="35">
        <v>0</v>
      </c>
      <c r="F94" s="27"/>
      <c r="G94" s="27"/>
      <c r="H94" s="27"/>
      <c r="I94" s="27"/>
      <c r="J94" s="31">
        <f>ROUND(SUM('Текущие цены с учетом расхода'!I9:I12),8)</f>
        <v>18.111</v>
      </c>
      <c r="K94" s="31"/>
      <c r="L94" s="27"/>
    </row>
    <row r="95" spans="1:12" ht="10.5">
      <c r="A95" s="28">
        <v>86</v>
      </c>
      <c r="B95" s="7" t="s">
        <v>121</v>
      </c>
      <c r="C95" s="32" t="s">
        <v>289</v>
      </c>
      <c r="D95" s="35">
        <v>0</v>
      </c>
      <c r="F95" s="27"/>
      <c r="G95" s="27"/>
      <c r="H95" s="27"/>
      <c r="I95" s="27"/>
      <c r="J95" s="31">
        <f>ROUND(SUM('Текущие цены с учетом расхода'!K9:K12),8)</f>
        <v>0.065</v>
      </c>
      <c r="K95" s="31"/>
      <c r="L95" s="27"/>
    </row>
    <row r="96" spans="1:12" ht="10.5">
      <c r="A96" s="28">
        <v>87</v>
      </c>
      <c r="B96" s="7" t="s">
        <v>122</v>
      </c>
      <c r="C96" s="32" t="s">
        <v>290</v>
      </c>
      <c r="D96" s="35">
        <v>0</v>
      </c>
      <c r="F96" s="27"/>
      <c r="G96" s="27"/>
      <c r="H96" s="27"/>
      <c r="I96" s="27"/>
      <c r="J96" s="31">
        <f>ROUND((J94+J95),8)</f>
        <v>18.176</v>
      </c>
      <c r="K96" s="31"/>
      <c r="L96" s="27"/>
    </row>
    <row r="98" spans="2:14" ht="10.5">
      <c r="B98" s="41" t="s">
        <v>123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N98" s="35"/>
    </row>
    <row r="99" spans="2:12" ht="10.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3" s="29" customFormat="1" ht="10.5">
      <c r="A100" s="5"/>
      <c r="B100" s="29" t="s">
        <v>274</v>
      </c>
      <c r="C100" s="29" t="s">
        <v>275</v>
      </c>
      <c r="D100" s="36" t="s">
        <v>276</v>
      </c>
      <c r="E100" s="29" t="s">
        <v>277</v>
      </c>
      <c r="F100" s="29" t="s">
        <v>278</v>
      </c>
      <c r="G100" s="29" t="s">
        <v>279</v>
      </c>
      <c r="H100" s="29" t="s">
        <v>280</v>
      </c>
      <c r="I100" s="29" t="s">
        <v>281</v>
      </c>
      <c r="J100" s="29" t="s">
        <v>282</v>
      </c>
      <c r="K100" s="29" t="s">
        <v>283</v>
      </c>
      <c r="L100" s="29" t="s">
        <v>284</v>
      </c>
      <c r="M100" s="29" t="s">
        <v>285</v>
      </c>
    </row>
    <row r="101" spans="1:14" ht="10.5">
      <c r="A101" s="28">
        <v>1</v>
      </c>
      <c r="B101" s="7" t="s">
        <v>170</v>
      </c>
      <c r="C101" s="32" t="s">
        <v>286</v>
      </c>
      <c r="D101" s="35">
        <v>0</v>
      </c>
      <c r="E101" s="35"/>
      <c r="F101" s="27">
        <f>ROUND(SUM('Текущие цены с учетом расхода'!B16:B24),2)</f>
        <v>122340.18</v>
      </c>
      <c r="G101" s="27">
        <f>ROUND(SUM('Текущие цены с учетом расхода'!C16:C24),2)</f>
        <v>61915.31</v>
      </c>
      <c r="H101" s="27">
        <f>ROUND(SUM('Текущие цены с учетом расхода'!D16:D24),2)</f>
        <v>3243.25</v>
      </c>
      <c r="I101" s="27">
        <f>ROUND(SUM('Текущие цены с учетом расхода'!E16:E24),2)</f>
        <v>1886.08</v>
      </c>
      <c r="J101" s="31">
        <f>ROUND(SUM('Текущие цены с учетом расхода'!I16:I24),8)</f>
        <v>268.566975</v>
      </c>
      <c r="K101" s="31">
        <f>ROUND(SUM('Текущие цены с учетом расхода'!K16:K24),8)</f>
        <v>6.304375</v>
      </c>
      <c r="L101" s="27">
        <f>ROUND(SUM('Текущие цены с учетом расхода'!F16:F24),2)</f>
        <v>57181.62</v>
      </c>
      <c r="N101" s="35"/>
    </row>
    <row r="102" spans="1:12" ht="10.5">
      <c r="A102" s="28">
        <v>2</v>
      </c>
      <c r="B102" s="7" t="s">
        <v>71</v>
      </c>
      <c r="C102" s="32" t="s">
        <v>287</v>
      </c>
      <c r="D102" s="35">
        <v>0</v>
      </c>
      <c r="F102" s="27">
        <f>ROUND(SUMIF(Определители!I16:I24,"= ",'Текущие цены с учетом расхода'!B16:B24),2)</f>
        <v>0</v>
      </c>
      <c r="G102" s="27">
        <f>ROUND(SUMIF(Определители!I16:I24,"= ",'Текущие цены с учетом расхода'!C16:C24),2)</f>
        <v>0</v>
      </c>
      <c r="H102" s="27">
        <f>ROUND(SUMIF(Определители!I16:I24,"= ",'Текущие цены с учетом расхода'!D16:D24),2)</f>
        <v>0</v>
      </c>
      <c r="I102" s="27">
        <f>ROUND(SUMIF(Определители!I16:I24,"= ",'Текущие цены с учетом расхода'!E16:E24),2)</f>
        <v>0</v>
      </c>
      <c r="J102" s="31">
        <f>ROUND(SUMIF(Определители!I16:I24,"= ",'Текущие цены с учетом расхода'!I16:I24),8)</f>
        <v>0</v>
      </c>
      <c r="K102" s="31">
        <f>ROUND(SUMIF(Определители!I16:I24,"= ",'Текущие цены с учетом расхода'!K16:K24),8)</f>
        <v>0</v>
      </c>
      <c r="L102" s="27">
        <f>ROUND(SUMIF(Определители!I16:I24,"= ",'Текущие цены с учетом расхода'!F16:F24),2)</f>
        <v>0</v>
      </c>
    </row>
    <row r="103" spans="1:12" ht="10.5">
      <c r="A103" s="28">
        <v>3</v>
      </c>
      <c r="B103" s="7" t="s">
        <v>72</v>
      </c>
      <c r="C103" s="32" t="s">
        <v>287</v>
      </c>
      <c r="D103" s="35">
        <v>0</v>
      </c>
      <c r="F103" s="27">
        <f>ROUND(СУММПРОИЗВЕСЛИ(0.01,Определители!I16:I24," ",'Текущие цены с учетом расхода'!B16:B24,Начисления!X16:X24,0),2)</f>
        <v>0</v>
      </c>
      <c r="G103" s="27"/>
      <c r="H103" s="27"/>
      <c r="I103" s="27"/>
      <c r="J103" s="31"/>
      <c r="K103" s="31"/>
      <c r="L103" s="27"/>
    </row>
    <row r="104" spans="1:12" ht="10.5">
      <c r="A104" s="28">
        <v>4</v>
      </c>
      <c r="B104" s="7" t="s">
        <v>73</v>
      </c>
      <c r="C104" s="32" t="s">
        <v>287</v>
      </c>
      <c r="D104" s="35">
        <v>0</v>
      </c>
      <c r="F104" s="27">
        <f>ROUND(СУММПРОИЗВЕСЛИ(0.01,Определители!I16:I24," ",'Текущие цены с учетом расхода'!B16:B24,Начисления!Y16:Y24,0),2)</f>
        <v>0</v>
      </c>
      <c r="G104" s="27"/>
      <c r="H104" s="27"/>
      <c r="I104" s="27"/>
      <c r="J104" s="31"/>
      <c r="K104" s="31"/>
      <c r="L104" s="27"/>
    </row>
    <row r="105" spans="1:12" ht="10.5">
      <c r="A105" s="28">
        <v>5</v>
      </c>
      <c r="B105" s="7" t="s">
        <v>74</v>
      </c>
      <c r="C105" s="32" t="s">
        <v>287</v>
      </c>
      <c r="D105" s="35">
        <v>0</v>
      </c>
      <c r="F105" s="27">
        <f>ROUND(ТРАНСПРАСХОД(Определители!B16:B24,Определители!H16:H24,Определители!I16:I24,'Текущие цены с учетом расхода'!B16:B24,Начисления!Z16:Z24,Начисления!AA16:AA24),2)</f>
        <v>0</v>
      </c>
      <c r="G105" s="27"/>
      <c r="H105" s="27"/>
      <c r="I105" s="27"/>
      <c r="J105" s="31"/>
      <c r="K105" s="31"/>
      <c r="L105" s="27"/>
    </row>
    <row r="106" spans="1:12" ht="10.5">
      <c r="A106" s="28">
        <v>6</v>
      </c>
      <c r="B106" s="7" t="s">
        <v>75</v>
      </c>
      <c r="C106" s="32" t="s">
        <v>287</v>
      </c>
      <c r="D106" s="35">
        <v>0</v>
      </c>
      <c r="F106" s="27">
        <f>ROUND(СУММПРОИЗВЕСЛИ(0.01,Определители!I16:I24," ",'Текущие цены с учетом расхода'!B16:B24,Начисления!AC16:AC24,0),2)</f>
        <v>0</v>
      </c>
      <c r="G106" s="27"/>
      <c r="H106" s="27"/>
      <c r="I106" s="27"/>
      <c r="J106" s="31"/>
      <c r="K106" s="31"/>
      <c r="L106" s="27"/>
    </row>
    <row r="107" spans="1:12" ht="10.5">
      <c r="A107" s="28">
        <v>7</v>
      </c>
      <c r="B107" s="7" t="s">
        <v>76</v>
      </c>
      <c r="C107" s="32" t="s">
        <v>287</v>
      </c>
      <c r="D107" s="35">
        <v>0</v>
      </c>
      <c r="F107" s="27">
        <f>ROUND(СУММПРОИЗВЕСЛИ(0.01,Определители!I16:I24," ",'Текущие цены с учетом расхода'!B16:B24,Начисления!AF16:AF24,0),2)</f>
        <v>0</v>
      </c>
      <c r="G107" s="27"/>
      <c r="H107" s="27"/>
      <c r="I107" s="27"/>
      <c r="J107" s="31"/>
      <c r="K107" s="31"/>
      <c r="L107" s="27"/>
    </row>
    <row r="108" spans="1:12" ht="10.5">
      <c r="A108" s="28">
        <v>8</v>
      </c>
      <c r="B108" s="7" t="s">
        <v>77</v>
      </c>
      <c r="C108" s="32" t="s">
        <v>287</v>
      </c>
      <c r="D108" s="35">
        <v>0</v>
      </c>
      <c r="F108" s="27">
        <f>ROUND(ЗАГОТСКЛАДРАСХОД(Определители!B16:B24,Определители!H16:H24,Определители!I16:I24,'Текущие цены с учетом расхода'!B16:B24,Начисления!X16:X24,Начисления!Y16:Y24,Начисления!Z16:Z24,Начисления!AA16:AA24,Начисления!AB16:AB24,Начисления!AC16:AC24,Начисления!AF16:AF24),2)</f>
        <v>0</v>
      </c>
      <c r="G108" s="27"/>
      <c r="H108" s="27"/>
      <c r="I108" s="27"/>
      <c r="J108" s="31"/>
      <c r="K108" s="31"/>
      <c r="L108" s="27"/>
    </row>
    <row r="109" spans="1:12" ht="10.5">
      <c r="A109" s="28">
        <v>9</v>
      </c>
      <c r="B109" s="7" t="s">
        <v>78</v>
      </c>
      <c r="C109" s="32" t="s">
        <v>287</v>
      </c>
      <c r="D109" s="35">
        <v>0</v>
      </c>
      <c r="F109" s="27">
        <f>ROUND(СУММПРОИЗВЕСЛИ(1,Определители!I16:I24," ",'Текущие цены с учетом расхода'!M16:M24,Начисления!I16:I24,0),2)</f>
        <v>0</v>
      </c>
      <c r="G109" s="27"/>
      <c r="H109" s="27"/>
      <c r="I109" s="27"/>
      <c r="J109" s="31"/>
      <c r="K109" s="31"/>
      <c r="L109" s="27"/>
    </row>
    <row r="110" spans="1:12" ht="10.5">
      <c r="A110" s="28">
        <v>10</v>
      </c>
      <c r="B110" s="7" t="s">
        <v>79</v>
      </c>
      <c r="C110" s="32" t="s">
        <v>288</v>
      </c>
      <c r="D110" s="35">
        <v>0</v>
      </c>
      <c r="F110" s="27">
        <f>ROUND((F109+F120+F140),2)</f>
        <v>0</v>
      </c>
      <c r="G110" s="27"/>
      <c r="H110" s="27"/>
      <c r="I110" s="27"/>
      <c r="J110" s="31"/>
      <c r="K110" s="31"/>
      <c r="L110" s="27"/>
    </row>
    <row r="111" spans="1:12" ht="10.5">
      <c r="A111" s="28">
        <v>11</v>
      </c>
      <c r="B111" s="7" t="s">
        <v>80</v>
      </c>
      <c r="C111" s="32" t="s">
        <v>288</v>
      </c>
      <c r="D111" s="35">
        <v>0</v>
      </c>
      <c r="F111" s="27">
        <f>ROUND((F102+F103+F104+F105+F106+F107+F108+F110),2)</f>
        <v>0</v>
      </c>
      <c r="G111" s="27"/>
      <c r="H111" s="27"/>
      <c r="I111" s="27"/>
      <c r="J111" s="31"/>
      <c r="K111" s="31"/>
      <c r="L111" s="27"/>
    </row>
    <row r="112" spans="1:12" ht="10.5">
      <c r="A112" s="28">
        <v>12</v>
      </c>
      <c r="B112" s="7" t="s">
        <v>81</v>
      </c>
      <c r="C112" s="32" t="s">
        <v>287</v>
      </c>
      <c r="D112" s="35">
        <v>0</v>
      </c>
      <c r="F112" s="27">
        <f>ROUND(SUMIF(Определители!I16:I24,"=1",'Текущие цены с учетом расхода'!B16:B24),2)</f>
        <v>0</v>
      </c>
      <c r="G112" s="27">
        <f>ROUND(SUMIF(Определители!I16:I24,"=1",'Текущие цены с учетом расхода'!C16:C24),2)</f>
        <v>0</v>
      </c>
      <c r="H112" s="27">
        <f>ROUND(SUMIF(Определители!I16:I24,"=1",'Текущие цены с учетом расхода'!D16:D24),2)</f>
        <v>0</v>
      </c>
      <c r="I112" s="27">
        <f>ROUND(SUMIF(Определители!I16:I24,"=1",'Текущие цены с учетом расхода'!E16:E24),2)</f>
        <v>0</v>
      </c>
      <c r="J112" s="31">
        <f>ROUND(SUMIF(Определители!I16:I24,"=1",'Текущие цены с учетом расхода'!I16:I24),8)</f>
        <v>0</v>
      </c>
      <c r="K112" s="31">
        <f>ROUND(SUMIF(Определители!I16:I24,"=1",'Текущие цены с учетом расхода'!K16:K24),8)</f>
        <v>0</v>
      </c>
      <c r="L112" s="27">
        <f>ROUND(SUMIF(Определители!I16:I24,"=1",'Текущие цены с учетом расхода'!F16:F24),2)</f>
        <v>0</v>
      </c>
    </row>
    <row r="113" spans="1:12" ht="10.5">
      <c r="A113" s="28">
        <v>13</v>
      </c>
      <c r="B113" s="7" t="s">
        <v>82</v>
      </c>
      <c r="C113" s="32" t="s">
        <v>287</v>
      </c>
      <c r="D113" s="35">
        <v>0</v>
      </c>
      <c r="F113" s="27"/>
      <c r="G113" s="27"/>
      <c r="H113" s="27"/>
      <c r="I113" s="27"/>
      <c r="J113" s="31"/>
      <c r="K113" s="31"/>
      <c r="L113" s="27"/>
    </row>
    <row r="114" spans="1:12" ht="10.5">
      <c r="A114" s="28">
        <v>14</v>
      </c>
      <c r="B114" s="7" t="s">
        <v>83</v>
      </c>
      <c r="C114" s="32" t="s">
        <v>287</v>
      </c>
      <c r="D114" s="35">
        <v>0</v>
      </c>
      <c r="F114" s="27"/>
      <c r="G114" s="27">
        <f>ROUND(SUMIF(Определители!I16:I24,"=1",'Текущие цены с учетом расхода'!T16:T24),2)</f>
        <v>0</v>
      </c>
      <c r="H114" s="27"/>
      <c r="I114" s="27"/>
      <c r="J114" s="31"/>
      <c r="K114" s="31"/>
      <c r="L114" s="27"/>
    </row>
    <row r="115" spans="1:12" ht="10.5">
      <c r="A115" s="28">
        <v>15</v>
      </c>
      <c r="B115" s="7" t="s">
        <v>84</v>
      </c>
      <c r="C115" s="32" t="s">
        <v>287</v>
      </c>
      <c r="D115" s="35">
        <v>0</v>
      </c>
      <c r="F115" s="27">
        <f>ROUND(SUMIF(Определители!I16:I24,"=1",'Текущие цены с учетом расхода'!U16:U24),2)</f>
        <v>0</v>
      </c>
      <c r="G115" s="27"/>
      <c r="H115" s="27"/>
      <c r="I115" s="27"/>
      <c r="J115" s="31"/>
      <c r="K115" s="31"/>
      <c r="L115" s="27"/>
    </row>
    <row r="116" spans="1:12" ht="10.5">
      <c r="A116" s="28">
        <v>16</v>
      </c>
      <c r="B116" s="7" t="s">
        <v>85</v>
      </c>
      <c r="C116" s="32" t="s">
        <v>287</v>
      </c>
      <c r="D116" s="35">
        <v>0</v>
      </c>
      <c r="F116" s="27">
        <f>ROUND(СУММЕСЛИ2(Определители!I16:I24,"1",Определители!G16:G24,"1",'Текущие цены с учетом расхода'!B16:B24),2)</f>
        <v>0</v>
      </c>
      <c r="G116" s="27"/>
      <c r="H116" s="27"/>
      <c r="I116" s="27"/>
      <c r="J116" s="31"/>
      <c r="K116" s="31"/>
      <c r="L116" s="27"/>
    </row>
    <row r="117" spans="1:12" ht="10.5">
      <c r="A117" s="28">
        <v>17</v>
      </c>
      <c r="B117" s="7" t="s">
        <v>86</v>
      </c>
      <c r="C117" s="32" t="s">
        <v>287</v>
      </c>
      <c r="D117" s="35">
        <v>0</v>
      </c>
      <c r="F117" s="27">
        <f>ROUND(SUMIF(Определители!I16:I24,"=1",'Текущие цены с учетом расхода'!H16:H24),2)</f>
        <v>0</v>
      </c>
      <c r="G117" s="27"/>
      <c r="H117" s="27"/>
      <c r="I117" s="27"/>
      <c r="J117" s="31"/>
      <c r="K117" s="31"/>
      <c r="L117" s="27"/>
    </row>
    <row r="118" spans="1:12" ht="10.5">
      <c r="A118" s="28">
        <v>18</v>
      </c>
      <c r="B118" s="7" t="s">
        <v>87</v>
      </c>
      <c r="C118" s="32" t="s">
        <v>287</v>
      </c>
      <c r="D118" s="35">
        <v>0</v>
      </c>
      <c r="F118" s="27">
        <f>ROUND(SUMIF(Определители!I16:I24,"=1",'Текущие цены с учетом расхода'!N16:N24),2)</f>
        <v>0</v>
      </c>
      <c r="G118" s="27"/>
      <c r="H118" s="27"/>
      <c r="I118" s="27"/>
      <c r="J118" s="31"/>
      <c r="K118" s="31"/>
      <c r="L118" s="27"/>
    </row>
    <row r="119" spans="1:12" ht="10.5">
      <c r="A119" s="28">
        <v>19</v>
      </c>
      <c r="B119" s="7" t="s">
        <v>88</v>
      </c>
      <c r="C119" s="32" t="s">
        <v>287</v>
      </c>
      <c r="D119" s="35">
        <v>0</v>
      </c>
      <c r="F119" s="27">
        <f>ROUND(SUMIF(Определители!I16:I24,"=1",'Текущие цены с учетом расхода'!O16:O24),2)</f>
        <v>0</v>
      </c>
      <c r="G119" s="27"/>
      <c r="H119" s="27"/>
      <c r="I119" s="27"/>
      <c r="J119" s="31"/>
      <c r="K119" s="31"/>
      <c r="L119" s="27"/>
    </row>
    <row r="120" spans="1:12" ht="10.5">
      <c r="A120" s="28">
        <v>20</v>
      </c>
      <c r="B120" s="7" t="s">
        <v>79</v>
      </c>
      <c r="C120" s="32" t="s">
        <v>287</v>
      </c>
      <c r="D120" s="35">
        <v>0</v>
      </c>
      <c r="F120" s="27">
        <f>ROUND(СУММПРОИЗВЕСЛИ(1,Определители!I16:I24," ",'Текущие цены с учетом расхода'!M16:M24,Начисления!I16:I24,0),2)</f>
        <v>0</v>
      </c>
      <c r="G120" s="27"/>
      <c r="H120" s="27"/>
      <c r="I120" s="27"/>
      <c r="J120" s="31"/>
      <c r="K120" s="31"/>
      <c r="L120" s="27"/>
    </row>
    <row r="121" spans="1:12" ht="10.5">
      <c r="A121" s="28">
        <v>21</v>
      </c>
      <c r="B121" s="7" t="s">
        <v>89</v>
      </c>
      <c r="C121" s="32" t="s">
        <v>288</v>
      </c>
      <c r="D121" s="35">
        <v>0</v>
      </c>
      <c r="F121" s="27">
        <f>ROUND((F112+F118+F119),2)</f>
        <v>0</v>
      </c>
      <c r="G121" s="27"/>
      <c r="H121" s="27"/>
      <c r="I121" s="27"/>
      <c r="J121" s="31"/>
      <c r="K121" s="31"/>
      <c r="L121" s="27"/>
    </row>
    <row r="122" spans="1:12" ht="10.5">
      <c r="A122" s="28">
        <v>22</v>
      </c>
      <c r="B122" s="7" t="s">
        <v>90</v>
      </c>
      <c r="C122" s="32" t="s">
        <v>287</v>
      </c>
      <c r="D122" s="35">
        <v>0</v>
      </c>
      <c r="F122" s="27">
        <f>ROUND(SUMIF(Определители!I16:I24,"=2",'Текущие цены с учетом расхода'!B16:B24),2)</f>
        <v>122340.18</v>
      </c>
      <c r="G122" s="27">
        <f>ROUND(SUMIF(Определители!I16:I24,"=2",'Текущие цены с учетом расхода'!C16:C24),2)</f>
        <v>61915.31</v>
      </c>
      <c r="H122" s="27">
        <f>ROUND(SUMIF(Определители!I16:I24,"=2",'Текущие цены с учетом расхода'!D16:D24),2)</f>
        <v>3243.25</v>
      </c>
      <c r="I122" s="27">
        <f>ROUND(SUMIF(Определители!I16:I24,"=2",'Текущие цены с учетом расхода'!E16:E24),2)</f>
        <v>1886.08</v>
      </c>
      <c r="J122" s="31">
        <f>ROUND(SUMIF(Определители!I16:I24,"=2",'Текущие цены с учетом расхода'!I16:I24),8)</f>
        <v>268.566975</v>
      </c>
      <c r="K122" s="31">
        <f>ROUND(SUMIF(Определители!I16:I24,"=2",'Текущие цены с учетом расхода'!K16:K24),8)</f>
        <v>6.304375</v>
      </c>
      <c r="L122" s="27">
        <f>ROUND(SUMIF(Определители!I16:I24,"=2",'Текущие цены с учетом расхода'!F16:F24),2)</f>
        <v>57181.62</v>
      </c>
    </row>
    <row r="123" spans="1:12" ht="10.5">
      <c r="A123" s="28">
        <v>23</v>
      </c>
      <c r="B123" s="7" t="s">
        <v>82</v>
      </c>
      <c r="C123" s="32" t="s">
        <v>287</v>
      </c>
      <c r="D123" s="35">
        <v>0</v>
      </c>
      <c r="F123" s="27"/>
      <c r="G123" s="27"/>
      <c r="H123" s="27"/>
      <c r="I123" s="27"/>
      <c r="J123" s="31"/>
      <c r="K123" s="31"/>
      <c r="L123" s="27"/>
    </row>
    <row r="124" spans="1:12" ht="10.5">
      <c r="A124" s="28">
        <v>24</v>
      </c>
      <c r="B124" s="7" t="s">
        <v>91</v>
      </c>
      <c r="C124" s="32" t="s">
        <v>287</v>
      </c>
      <c r="D124" s="35">
        <v>0</v>
      </c>
      <c r="F124" s="27">
        <f>ROUND(СУММЕСЛИ2(Определители!I16:I24,"2",Определители!G16:G24,"1",'Текущие цены с учетом расхода'!B16:B24),2)</f>
        <v>0</v>
      </c>
      <c r="G124" s="27"/>
      <c r="H124" s="27"/>
      <c r="I124" s="27"/>
      <c r="J124" s="31"/>
      <c r="K124" s="31"/>
      <c r="L124" s="27"/>
    </row>
    <row r="125" spans="1:12" ht="10.5">
      <c r="A125" s="28">
        <v>25</v>
      </c>
      <c r="B125" s="7" t="s">
        <v>86</v>
      </c>
      <c r="C125" s="32" t="s">
        <v>287</v>
      </c>
      <c r="D125" s="35">
        <v>0</v>
      </c>
      <c r="F125" s="27">
        <f>ROUND(SUMIF(Определители!I16:I24,"=2",'Текущие цены с учетом расхода'!H16:H24),2)</f>
        <v>0</v>
      </c>
      <c r="G125" s="27"/>
      <c r="H125" s="27"/>
      <c r="I125" s="27"/>
      <c r="J125" s="31"/>
      <c r="K125" s="31"/>
      <c r="L125" s="27"/>
    </row>
    <row r="126" spans="1:12" ht="10.5">
      <c r="A126" s="28">
        <v>26</v>
      </c>
      <c r="B126" s="7" t="s">
        <v>87</v>
      </c>
      <c r="C126" s="32" t="s">
        <v>287</v>
      </c>
      <c r="D126" s="35">
        <v>0</v>
      </c>
      <c r="F126" s="27">
        <f>ROUND(SUMIF(Определители!I16:I24,"=2",'Текущие цены с учетом расхода'!N16:N24),2)</f>
        <v>70599.54</v>
      </c>
      <c r="G126" s="27"/>
      <c r="H126" s="27"/>
      <c r="I126" s="27"/>
      <c r="J126" s="31"/>
      <c r="K126" s="31"/>
      <c r="L126" s="27"/>
    </row>
    <row r="127" spans="1:12" ht="10.5">
      <c r="A127" s="28">
        <v>27</v>
      </c>
      <c r="B127" s="7" t="s">
        <v>88</v>
      </c>
      <c r="C127" s="32" t="s">
        <v>287</v>
      </c>
      <c r="D127" s="35">
        <v>0</v>
      </c>
      <c r="F127" s="27">
        <f>ROUND(SUMIF(Определители!I16:I24,"=2",'Текущие цены с учетом расхода'!O16:O24),2)</f>
        <v>40658.39</v>
      </c>
      <c r="G127" s="27"/>
      <c r="H127" s="27"/>
      <c r="I127" s="27"/>
      <c r="J127" s="31"/>
      <c r="K127" s="31"/>
      <c r="L127" s="27"/>
    </row>
    <row r="128" spans="1:12" ht="10.5">
      <c r="A128" s="28">
        <v>28</v>
      </c>
      <c r="B128" s="7" t="s">
        <v>92</v>
      </c>
      <c r="C128" s="32" t="s">
        <v>288</v>
      </c>
      <c r="D128" s="35">
        <v>0</v>
      </c>
      <c r="F128" s="27">
        <f>ROUND((F122+F126+F127),2)</f>
        <v>233598.11</v>
      </c>
      <c r="G128" s="27"/>
      <c r="H128" s="27"/>
      <c r="I128" s="27"/>
      <c r="J128" s="31"/>
      <c r="K128" s="31"/>
      <c r="L128" s="27"/>
    </row>
    <row r="129" spans="1:12" ht="10.5">
      <c r="A129" s="28">
        <v>29</v>
      </c>
      <c r="B129" s="7" t="s">
        <v>93</v>
      </c>
      <c r="C129" s="32" t="s">
        <v>287</v>
      </c>
      <c r="D129" s="35">
        <v>0</v>
      </c>
      <c r="F129" s="27">
        <f>ROUND(SUMIF(Определители!I16:I24,"=3",'Текущие цены с учетом расхода'!B16:B24),2)</f>
        <v>0</v>
      </c>
      <c r="G129" s="27">
        <f>ROUND(SUMIF(Определители!I16:I24,"=3",'Текущие цены с учетом расхода'!C16:C24),2)</f>
        <v>0</v>
      </c>
      <c r="H129" s="27">
        <f>ROUND(SUMIF(Определители!I16:I24,"=3",'Текущие цены с учетом расхода'!D16:D24),2)</f>
        <v>0</v>
      </c>
      <c r="I129" s="27">
        <f>ROUND(SUMIF(Определители!I16:I24,"=3",'Текущие цены с учетом расхода'!E16:E24),2)</f>
        <v>0</v>
      </c>
      <c r="J129" s="31">
        <f>ROUND(SUMIF(Определители!I16:I24,"=3",'Текущие цены с учетом расхода'!I16:I24),8)</f>
        <v>0</v>
      </c>
      <c r="K129" s="31">
        <f>ROUND(SUMIF(Определители!I16:I24,"=3",'Текущие цены с учетом расхода'!K16:K24),8)</f>
        <v>0</v>
      </c>
      <c r="L129" s="27">
        <f>ROUND(SUMIF(Определители!I16:I24,"=3",'Текущие цены с учетом расхода'!F16:F24),2)</f>
        <v>0</v>
      </c>
    </row>
    <row r="130" spans="1:12" ht="10.5">
      <c r="A130" s="28">
        <v>30</v>
      </c>
      <c r="B130" s="7" t="s">
        <v>86</v>
      </c>
      <c r="C130" s="32" t="s">
        <v>287</v>
      </c>
      <c r="D130" s="35">
        <v>0</v>
      </c>
      <c r="F130" s="27">
        <f>ROUND(SUMIF(Определители!I16:I24,"=3",'Текущие цены с учетом расхода'!H16:H24),2)</f>
        <v>0</v>
      </c>
      <c r="G130" s="27"/>
      <c r="H130" s="27"/>
      <c r="I130" s="27"/>
      <c r="J130" s="31"/>
      <c r="K130" s="31"/>
      <c r="L130" s="27"/>
    </row>
    <row r="131" spans="1:12" ht="10.5">
      <c r="A131" s="28">
        <v>31</v>
      </c>
      <c r="B131" s="7" t="s">
        <v>87</v>
      </c>
      <c r="C131" s="32" t="s">
        <v>287</v>
      </c>
      <c r="D131" s="35">
        <v>0</v>
      </c>
      <c r="F131" s="27">
        <f>ROUND(SUMIF(Определители!I16:I24,"=3",'Текущие цены с учетом расхода'!N16:N24),2)</f>
        <v>0</v>
      </c>
      <c r="G131" s="27"/>
      <c r="H131" s="27"/>
      <c r="I131" s="27"/>
      <c r="J131" s="31"/>
      <c r="K131" s="31"/>
      <c r="L131" s="27"/>
    </row>
    <row r="132" spans="1:12" ht="10.5">
      <c r="A132" s="28">
        <v>32</v>
      </c>
      <c r="B132" s="7" t="s">
        <v>88</v>
      </c>
      <c r="C132" s="32" t="s">
        <v>287</v>
      </c>
      <c r="D132" s="35">
        <v>0</v>
      </c>
      <c r="F132" s="27">
        <f>ROUND(SUMIF(Определители!I16:I24,"=3",'Текущие цены с учетом расхода'!O16:O24),2)</f>
        <v>0</v>
      </c>
      <c r="G132" s="27"/>
      <c r="H132" s="27"/>
      <c r="I132" s="27"/>
      <c r="J132" s="31"/>
      <c r="K132" s="31"/>
      <c r="L132" s="27"/>
    </row>
    <row r="133" spans="1:12" ht="10.5">
      <c r="A133" s="28">
        <v>33</v>
      </c>
      <c r="B133" s="7" t="s">
        <v>94</v>
      </c>
      <c r="C133" s="32" t="s">
        <v>288</v>
      </c>
      <c r="D133" s="35">
        <v>0</v>
      </c>
      <c r="F133" s="27">
        <f>ROUND((F129+F131+F132),2)</f>
        <v>0</v>
      </c>
      <c r="G133" s="27"/>
      <c r="H133" s="27"/>
      <c r="I133" s="27"/>
      <c r="J133" s="31"/>
      <c r="K133" s="31"/>
      <c r="L133" s="27"/>
    </row>
    <row r="134" spans="1:12" ht="10.5">
      <c r="A134" s="28">
        <v>34</v>
      </c>
      <c r="B134" s="7" t="s">
        <v>95</v>
      </c>
      <c r="C134" s="32" t="s">
        <v>287</v>
      </c>
      <c r="D134" s="35">
        <v>0</v>
      </c>
      <c r="F134" s="27">
        <f>ROUND(SUMIF(Определители!I16:I24,"=4",'Текущие цены с учетом расхода'!B16:B24),2)</f>
        <v>0</v>
      </c>
      <c r="G134" s="27">
        <f>ROUND(SUMIF(Определители!I16:I24,"=4",'Текущие цены с учетом расхода'!C16:C24),2)</f>
        <v>0</v>
      </c>
      <c r="H134" s="27">
        <f>ROUND(SUMIF(Определители!I16:I24,"=4",'Текущие цены с учетом расхода'!D16:D24),2)</f>
        <v>0</v>
      </c>
      <c r="I134" s="27">
        <f>ROUND(SUMIF(Определители!I16:I24,"=4",'Текущие цены с учетом расхода'!E16:E24),2)</f>
        <v>0</v>
      </c>
      <c r="J134" s="31">
        <f>ROUND(SUMIF(Определители!I16:I24,"=4",'Текущие цены с учетом расхода'!I16:I24),8)</f>
        <v>0</v>
      </c>
      <c r="K134" s="31">
        <f>ROUND(SUMIF(Определители!I16:I24,"=4",'Текущие цены с учетом расхода'!K16:K24),8)</f>
        <v>0</v>
      </c>
      <c r="L134" s="27">
        <f>ROUND(SUMIF(Определители!I16:I24,"=4",'Текущие цены с учетом расхода'!F16:F24),2)</f>
        <v>0</v>
      </c>
    </row>
    <row r="135" spans="1:12" ht="10.5">
      <c r="A135" s="28">
        <v>35</v>
      </c>
      <c r="B135" s="7" t="s">
        <v>82</v>
      </c>
      <c r="C135" s="32" t="s">
        <v>287</v>
      </c>
      <c r="D135" s="35">
        <v>0</v>
      </c>
      <c r="F135" s="27"/>
      <c r="G135" s="27"/>
      <c r="H135" s="27"/>
      <c r="I135" s="27"/>
      <c r="J135" s="31"/>
      <c r="K135" s="31"/>
      <c r="L135" s="27"/>
    </row>
    <row r="136" spans="1:12" ht="10.5">
      <c r="A136" s="28">
        <v>36</v>
      </c>
      <c r="B136" s="7" t="s">
        <v>96</v>
      </c>
      <c r="C136" s="32" t="s">
        <v>287</v>
      </c>
      <c r="D136" s="35">
        <v>0</v>
      </c>
      <c r="F136" s="27">
        <f>ROUND(SUMIF(Определители!I16:I24,"=4",'Текущие цены с учетом расхода'!AJ16:AJ24),2)</f>
        <v>0</v>
      </c>
      <c r="G136" s="27">
        <f>ROUND(SUMIF(Определители!I16:I24,"=4",'Текущие цены с учетом расхода'!AI16:AI24),2)</f>
        <v>0</v>
      </c>
      <c r="H136" s="27">
        <f>ROUND(SUMIF(Определители!I16:I24,"=4",'Текущие цены с учетом расхода'!AH16:AH24),2)</f>
        <v>0</v>
      </c>
      <c r="I136" s="27">
        <f>ROUND(SUMIF(Определители!I16:I24,"=4",'Текущие цены с учетом расхода'!V16:V24),2)</f>
        <v>0</v>
      </c>
      <c r="J136" s="31"/>
      <c r="K136" s="31"/>
      <c r="L136" s="27"/>
    </row>
    <row r="137" spans="1:12" ht="10.5">
      <c r="A137" s="28">
        <v>37</v>
      </c>
      <c r="B137" s="7" t="s">
        <v>86</v>
      </c>
      <c r="C137" s="32" t="s">
        <v>287</v>
      </c>
      <c r="D137" s="35">
        <v>0</v>
      </c>
      <c r="F137" s="27">
        <f>ROUND(SUMIF(Определители!I16:I24,"=4",'Текущие цены с учетом расхода'!H16:H24),2)</f>
        <v>0</v>
      </c>
      <c r="G137" s="27"/>
      <c r="H137" s="27"/>
      <c r="I137" s="27"/>
      <c r="J137" s="31"/>
      <c r="K137" s="31"/>
      <c r="L137" s="27"/>
    </row>
    <row r="138" spans="1:12" ht="10.5">
      <c r="A138" s="28">
        <v>38</v>
      </c>
      <c r="B138" s="7" t="s">
        <v>87</v>
      </c>
      <c r="C138" s="32" t="s">
        <v>287</v>
      </c>
      <c r="D138" s="35">
        <v>0</v>
      </c>
      <c r="F138" s="27">
        <f>ROUND(SUMIF(Определители!I16:I24,"=4",'Текущие цены с учетом расхода'!N16:N24),2)</f>
        <v>0</v>
      </c>
      <c r="G138" s="27"/>
      <c r="H138" s="27"/>
      <c r="I138" s="27"/>
      <c r="J138" s="31"/>
      <c r="K138" s="31"/>
      <c r="L138" s="27"/>
    </row>
    <row r="139" spans="1:12" ht="10.5">
      <c r="A139" s="28">
        <v>39</v>
      </c>
      <c r="B139" s="7" t="s">
        <v>88</v>
      </c>
      <c r="C139" s="32" t="s">
        <v>287</v>
      </c>
      <c r="D139" s="35">
        <v>0</v>
      </c>
      <c r="F139" s="27">
        <f>ROUND(SUMIF(Определители!I16:I24,"=4",'Текущие цены с учетом расхода'!O16:O24),2)</f>
        <v>0</v>
      </c>
      <c r="G139" s="27"/>
      <c r="H139" s="27"/>
      <c r="I139" s="27"/>
      <c r="J139" s="31"/>
      <c r="K139" s="31"/>
      <c r="L139" s="27"/>
    </row>
    <row r="140" spans="1:12" ht="10.5">
      <c r="A140" s="28">
        <v>40</v>
      </c>
      <c r="B140" s="7" t="s">
        <v>79</v>
      </c>
      <c r="C140" s="32" t="s">
        <v>287</v>
      </c>
      <c r="D140" s="35">
        <v>0</v>
      </c>
      <c r="F140" s="27">
        <f>ROUND(СУММПРОИЗВЕСЛИ(1,Определители!I16:I24," ",'Текущие цены с учетом расхода'!M16:M24,Начисления!I16:I24,0),2)</f>
        <v>0</v>
      </c>
      <c r="G140" s="27"/>
      <c r="H140" s="27"/>
      <c r="I140" s="27"/>
      <c r="J140" s="31"/>
      <c r="K140" s="31"/>
      <c r="L140" s="27"/>
    </row>
    <row r="141" spans="1:12" ht="10.5">
      <c r="A141" s="28">
        <v>41</v>
      </c>
      <c r="B141" s="7" t="s">
        <v>97</v>
      </c>
      <c r="C141" s="32" t="s">
        <v>288</v>
      </c>
      <c r="D141" s="35">
        <v>0</v>
      </c>
      <c r="F141" s="27">
        <f>ROUND((F134+F138+F139),2)</f>
        <v>0</v>
      </c>
      <c r="G141" s="27"/>
      <c r="H141" s="27"/>
      <c r="I141" s="27"/>
      <c r="J141" s="31"/>
      <c r="K141" s="31"/>
      <c r="L141" s="27"/>
    </row>
    <row r="142" spans="1:12" ht="10.5">
      <c r="A142" s="28">
        <v>42</v>
      </c>
      <c r="B142" s="7" t="s">
        <v>98</v>
      </c>
      <c r="C142" s="32" t="s">
        <v>287</v>
      </c>
      <c r="D142" s="35">
        <v>0</v>
      </c>
      <c r="F142" s="27">
        <f>ROUND(SUMIF(Определители!I16:I24,"=5",'Текущие цены с учетом расхода'!B16:B24),2)</f>
        <v>0</v>
      </c>
      <c r="G142" s="27">
        <f>ROUND(SUMIF(Определители!I16:I24,"=5",'Текущие цены с учетом расхода'!C16:C24),2)</f>
        <v>0</v>
      </c>
      <c r="H142" s="27">
        <f>ROUND(SUMIF(Определители!I16:I24,"=5",'Текущие цены с учетом расхода'!D16:D24),2)</f>
        <v>0</v>
      </c>
      <c r="I142" s="27">
        <f>ROUND(SUMIF(Определители!I16:I24,"=5",'Текущие цены с учетом расхода'!E16:E24),2)</f>
        <v>0</v>
      </c>
      <c r="J142" s="31">
        <f>ROUND(SUMIF(Определители!I16:I24,"=5",'Текущие цены с учетом расхода'!I16:I24),8)</f>
        <v>0</v>
      </c>
      <c r="K142" s="31">
        <f>ROUND(SUMIF(Определители!I16:I24,"=5",'Текущие цены с учетом расхода'!K16:K24),8)</f>
        <v>0</v>
      </c>
      <c r="L142" s="27">
        <f>ROUND(SUMIF(Определители!I16:I24,"=5",'Текущие цены с учетом расхода'!F16:F24),2)</f>
        <v>0</v>
      </c>
    </row>
    <row r="143" spans="1:12" ht="10.5">
      <c r="A143" s="28">
        <v>43</v>
      </c>
      <c r="B143" s="7" t="s">
        <v>86</v>
      </c>
      <c r="C143" s="32" t="s">
        <v>287</v>
      </c>
      <c r="D143" s="35">
        <v>0</v>
      </c>
      <c r="F143" s="27">
        <f>ROUND(SUMIF(Определители!I16:I24,"=5",'Текущие цены с учетом расхода'!H16:H24),2)</f>
        <v>0</v>
      </c>
      <c r="G143" s="27"/>
      <c r="H143" s="27"/>
      <c r="I143" s="27"/>
      <c r="J143" s="31"/>
      <c r="K143" s="31"/>
      <c r="L143" s="27"/>
    </row>
    <row r="144" spans="1:12" ht="10.5">
      <c r="A144" s="28">
        <v>44</v>
      </c>
      <c r="B144" s="7" t="s">
        <v>87</v>
      </c>
      <c r="C144" s="32" t="s">
        <v>287</v>
      </c>
      <c r="D144" s="35">
        <v>0</v>
      </c>
      <c r="F144" s="27">
        <f>ROUND(SUMIF(Определители!I16:I24,"=5",'Текущие цены с учетом расхода'!N16:N24),2)</f>
        <v>0</v>
      </c>
      <c r="G144" s="27"/>
      <c r="H144" s="27"/>
      <c r="I144" s="27"/>
      <c r="J144" s="31"/>
      <c r="K144" s="31"/>
      <c r="L144" s="27"/>
    </row>
    <row r="145" spans="1:12" ht="10.5">
      <c r="A145" s="28">
        <v>45</v>
      </c>
      <c r="B145" s="7" t="s">
        <v>88</v>
      </c>
      <c r="C145" s="32" t="s">
        <v>287</v>
      </c>
      <c r="D145" s="35">
        <v>0</v>
      </c>
      <c r="F145" s="27">
        <f>ROUND(SUMIF(Определители!I16:I24,"=5",'Текущие цены с учетом расхода'!O16:O24),2)</f>
        <v>0</v>
      </c>
      <c r="G145" s="27"/>
      <c r="H145" s="27"/>
      <c r="I145" s="27"/>
      <c r="J145" s="31"/>
      <c r="K145" s="31"/>
      <c r="L145" s="27"/>
    </row>
    <row r="146" spans="1:12" ht="10.5">
      <c r="A146" s="28">
        <v>46</v>
      </c>
      <c r="B146" s="7" t="s">
        <v>99</v>
      </c>
      <c r="C146" s="32" t="s">
        <v>288</v>
      </c>
      <c r="D146" s="35">
        <v>0</v>
      </c>
      <c r="F146" s="27">
        <f>ROUND((F142+F144+F145),2)</f>
        <v>0</v>
      </c>
      <c r="G146" s="27"/>
      <c r="H146" s="27"/>
      <c r="I146" s="27"/>
      <c r="J146" s="31"/>
      <c r="K146" s="31"/>
      <c r="L146" s="27"/>
    </row>
    <row r="147" spans="1:12" ht="10.5">
      <c r="A147" s="28">
        <v>47</v>
      </c>
      <c r="B147" s="7" t="s">
        <v>100</v>
      </c>
      <c r="C147" s="32" t="s">
        <v>287</v>
      </c>
      <c r="D147" s="35">
        <v>0</v>
      </c>
      <c r="F147" s="27">
        <f>ROUND(SUMIF(Определители!I16:I24,"=6",'Текущие цены с учетом расхода'!B16:B24),2)</f>
        <v>0</v>
      </c>
      <c r="G147" s="27">
        <f>ROUND(SUMIF(Определители!I16:I24,"=6",'Текущие цены с учетом расхода'!C16:C24),2)</f>
        <v>0</v>
      </c>
      <c r="H147" s="27">
        <f>ROUND(SUMIF(Определители!I16:I24,"=6",'Текущие цены с учетом расхода'!D16:D24),2)</f>
        <v>0</v>
      </c>
      <c r="I147" s="27">
        <f>ROUND(SUMIF(Определители!I16:I24,"=6",'Текущие цены с учетом расхода'!E16:E24),2)</f>
        <v>0</v>
      </c>
      <c r="J147" s="31">
        <f>ROUND(SUMIF(Определители!I16:I24,"=6",'Текущие цены с учетом расхода'!I16:I24),8)</f>
        <v>0</v>
      </c>
      <c r="K147" s="31">
        <f>ROUND(SUMIF(Определители!I16:I24,"=6",'Текущие цены с учетом расхода'!K16:K24),8)</f>
        <v>0</v>
      </c>
      <c r="L147" s="27">
        <f>ROUND(SUMIF(Определители!I16:I24,"=6",'Текущие цены с учетом расхода'!F16:F24),2)</f>
        <v>0</v>
      </c>
    </row>
    <row r="148" spans="1:12" ht="10.5">
      <c r="A148" s="28">
        <v>48</v>
      </c>
      <c r="B148" s="7" t="s">
        <v>86</v>
      </c>
      <c r="C148" s="32" t="s">
        <v>287</v>
      </c>
      <c r="D148" s="35">
        <v>0</v>
      </c>
      <c r="F148" s="27">
        <f>ROUND(SUMIF(Определители!I16:I24,"=6",'Текущие цены с учетом расхода'!H16:H24),2)</f>
        <v>0</v>
      </c>
      <c r="G148" s="27"/>
      <c r="H148" s="27"/>
      <c r="I148" s="27"/>
      <c r="J148" s="31"/>
      <c r="K148" s="31"/>
      <c r="L148" s="27"/>
    </row>
    <row r="149" spans="1:12" ht="10.5">
      <c r="A149" s="28">
        <v>49</v>
      </c>
      <c r="B149" s="7" t="s">
        <v>87</v>
      </c>
      <c r="C149" s="32" t="s">
        <v>287</v>
      </c>
      <c r="D149" s="35">
        <v>0</v>
      </c>
      <c r="F149" s="27">
        <f>ROUND(SUMIF(Определители!I16:I24,"=6",'Текущие цены с учетом расхода'!N16:N24),2)</f>
        <v>0</v>
      </c>
      <c r="G149" s="27"/>
      <c r="H149" s="27"/>
      <c r="I149" s="27"/>
      <c r="J149" s="31"/>
      <c r="K149" s="31"/>
      <c r="L149" s="27"/>
    </row>
    <row r="150" spans="1:12" ht="10.5">
      <c r="A150" s="28">
        <v>50</v>
      </c>
      <c r="B150" s="7" t="s">
        <v>88</v>
      </c>
      <c r="C150" s="32" t="s">
        <v>287</v>
      </c>
      <c r="D150" s="35">
        <v>0</v>
      </c>
      <c r="F150" s="27">
        <f>ROUND(SUMIF(Определители!I16:I24,"=6",'Текущие цены с учетом расхода'!O16:O24),2)</f>
        <v>0</v>
      </c>
      <c r="G150" s="27"/>
      <c r="H150" s="27"/>
      <c r="I150" s="27"/>
      <c r="J150" s="31"/>
      <c r="K150" s="31"/>
      <c r="L150" s="27"/>
    </row>
    <row r="151" spans="1:12" ht="10.5">
      <c r="A151" s="28">
        <v>51</v>
      </c>
      <c r="B151" s="7" t="s">
        <v>101</v>
      </c>
      <c r="C151" s="32" t="s">
        <v>288</v>
      </c>
      <c r="D151" s="35">
        <v>0</v>
      </c>
      <c r="F151" s="27">
        <f>ROUND((F147+F149+F150),2)</f>
        <v>0</v>
      </c>
      <c r="G151" s="27"/>
      <c r="H151" s="27"/>
      <c r="I151" s="27"/>
      <c r="J151" s="31"/>
      <c r="K151" s="31"/>
      <c r="L151" s="27"/>
    </row>
    <row r="152" spans="1:12" ht="10.5">
      <c r="A152" s="28">
        <v>52</v>
      </c>
      <c r="B152" s="7" t="s">
        <v>102</v>
      </c>
      <c r="C152" s="32" t="s">
        <v>287</v>
      </c>
      <c r="D152" s="35">
        <v>0</v>
      </c>
      <c r="F152" s="27">
        <f>ROUND(SUMIF(Определители!I16:I24,"=7",'Текущие цены с учетом расхода'!B16:B24),2)</f>
        <v>0</v>
      </c>
      <c r="G152" s="27">
        <f>ROUND(SUMIF(Определители!I16:I24,"=7",'Текущие цены с учетом расхода'!C16:C24),2)</f>
        <v>0</v>
      </c>
      <c r="H152" s="27">
        <f>ROUND(SUMIF(Определители!I16:I24,"=7",'Текущие цены с учетом расхода'!D16:D24),2)</f>
        <v>0</v>
      </c>
      <c r="I152" s="27">
        <f>ROUND(SUMIF(Определители!I16:I24,"=7",'Текущие цены с учетом расхода'!E16:E24),2)</f>
        <v>0</v>
      </c>
      <c r="J152" s="31">
        <f>ROUND(SUMIF(Определители!I16:I24,"=7",'Текущие цены с учетом расхода'!I16:I24),8)</f>
        <v>0</v>
      </c>
      <c r="K152" s="31">
        <f>ROUND(SUMIF(Определители!I16:I24,"=7",'Текущие цены с учетом расхода'!K16:K24),8)</f>
        <v>0</v>
      </c>
      <c r="L152" s="27">
        <f>ROUND(SUMIF(Определители!I16:I24,"=7",'Текущие цены с учетом расхода'!F16:F24),2)</f>
        <v>0</v>
      </c>
    </row>
    <row r="153" spans="1:12" ht="10.5">
      <c r="A153" s="28">
        <v>53</v>
      </c>
      <c r="B153" s="7" t="s">
        <v>82</v>
      </c>
      <c r="C153" s="32" t="s">
        <v>287</v>
      </c>
      <c r="D153" s="35">
        <v>0</v>
      </c>
      <c r="F153" s="27"/>
      <c r="G153" s="27"/>
      <c r="H153" s="27"/>
      <c r="I153" s="27"/>
      <c r="J153" s="31"/>
      <c r="K153" s="31"/>
      <c r="L153" s="27"/>
    </row>
    <row r="154" spans="1:12" ht="10.5">
      <c r="A154" s="28">
        <v>54</v>
      </c>
      <c r="B154" s="7" t="s">
        <v>91</v>
      </c>
      <c r="C154" s="32" t="s">
        <v>287</v>
      </c>
      <c r="D154" s="35">
        <v>0</v>
      </c>
      <c r="F154" s="27">
        <f>ROUND(СУММЕСЛИ2(Определители!I16:I24,"2",Определители!G16:G24,"1",'Текущие цены с учетом расхода'!B16:B24),2)</f>
        <v>0</v>
      </c>
      <c r="G154" s="27"/>
      <c r="H154" s="27"/>
      <c r="I154" s="27"/>
      <c r="J154" s="31"/>
      <c r="K154" s="31"/>
      <c r="L154" s="27"/>
    </row>
    <row r="155" spans="1:12" ht="10.5">
      <c r="A155" s="28">
        <v>55</v>
      </c>
      <c r="B155" s="7" t="s">
        <v>86</v>
      </c>
      <c r="C155" s="32" t="s">
        <v>287</v>
      </c>
      <c r="D155" s="35">
        <v>0</v>
      </c>
      <c r="F155" s="27">
        <f>ROUND(SUMIF(Определители!I16:I24,"=7",'Текущие цены с учетом расхода'!H16:H24),2)</f>
        <v>0</v>
      </c>
      <c r="G155" s="27"/>
      <c r="H155" s="27"/>
      <c r="I155" s="27"/>
      <c r="J155" s="31"/>
      <c r="K155" s="31"/>
      <c r="L155" s="27"/>
    </row>
    <row r="156" spans="1:12" ht="10.5">
      <c r="A156" s="28">
        <v>56</v>
      </c>
      <c r="B156" s="7" t="s">
        <v>87</v>
      </c>
      <c r="C156" s="32" t="s">
        <v>287</v>
      </c>
      <c r="D156" s="35">
        <v>0</v>
      </c>
      <c r="F156" s="27">
        <f>ROUND(SUMIF(Определители!I16:I24,"=7",'Текущие цены с учетом расхода'!N16:N24),2)</f>
        <v>0</v>
      </c>
      <c r="G156" s="27"/>
      <c r="H156" s="27"/>
      <c r="I156" s="27"/>
      <c r="J156" s="31"/>
      <c r="K156" s="31"/>
      <c r="L156" s="27"/>
    </row>
    <row r="157" spans="1:12" ht="10.5">
      <c r="A157" s="28">
        <v>57</v>
      </c>
      <c r="B157" s="7" t="s">
        <v>88</v>
      </c>
      <c r="C157" s="32" t="s">
        <v>287</v>
      </c>
      <c r="D157" s="35">
        <v>0</v>
      </c>
      <c r="F157" s="27">
        <f>ROUND(SUMIF(Определители!I16:I24,"=7",'Текущие цены с учетом расхода'!O16:O24),2)</f>
        <v>0</v>
      </c>
      <c r="G157" s="27"/>
      <c r="H157" s="27"/>
      <c r="I157" s="27"/>
      <c r="J157" s="31"/>
      <c r="K157" s="31"/>
      <c r="L157" s="27"/>
    </row>
    <row r="158" spans="1:12" ht="10.5">
      <c r="A158" s="28">
        <v>58</v>
      </c>
      <c r="B158" s="7" t="s">
        <v>103</v>
      </c>
      <c r="C158" s="32" t="s">
        <v>288</v>
      </c>
      <c r="D158" s="35">
        <v>0</v>
      </c>
      <c r="F158" s="27">
        <f>ROUND((F152+F156+F157),2)</f>
        <v>0</v>
      </c>
      <c r="G158" s="27"/>
      <c r="H158" s="27"/>
      <c r="I158" s="27"/>
      <c r="J158" s="31"/>
      <c r="K158" s="31"/>
      <c r="L158" s="27"/>
    </row>
    <row r="159" spans="1:12" ht="10.5">
      <c r="A159" s="28">
        <v>59</v>
      </c>
      <c r="B159" s="7" t="s">
        <v>104</v>
      </c>
      <c r="C159" s="32" t="s">
        <v>287</v>
      </c>
      <c r="D159" s="35">
        <v>0</v>
      </c>
      <c r="F159" s="27">
        <f>ROUND(SUMIF(Определители!I16:I24,"=;",'Текущие цены с учетом расхода'!B16:B24),2)</f>
        <v>0</v>
      </c>
      <c r="G159" s="27">
        <f>ROUND(SUMIF(Определители!I16:I24,"=;",'Текущие цены с учетом расхода'!C16:C24),2)</f>
        <v>0</v>
      </c>
      <c r="H159" s="27">
        <f>ROUND(SUMIF(Определители!I16:I24,"=;",'Текущие цены с учетом расхода'!D16:D24),2)</f>
        <v>0</v>
      </c>
      <c r="I159" s="27">
        <f>ROUND(SUMIF(Определители!I16:I24,"=;",'Текущие цены с учетом расхода'!E16:E24),2)</f>
        <v>0</v>
      </c>
      <c r="J159" s="31">
        <f>ROUND(SUMIF(Определители!I16:I24,"=;",'Текущие цены с учетом расхода'!I16:I24),8)</f>
        <v>0</v>
      </c>
      <c r="K159" s="31">
        <f>ROUND(SUMIF(Определители!I16:I24,"=;",'Текущие цены с учетом расхода'!K16:K24),8)</f>
        <v>0</v>
      </c>
      <c r="L159" s="27">
        <f>ROUND(SUMIF(Определители!I16:I24,"=;",'Текущие цены с учетом расхода'!F16:F24),2)</f>
        <v>0</v>
      </c>
    </row>
    <row r="160" spans="1:12" ht="10.5">
      <c r="A160" s="28">
        <v>60</v>
      </c>
      <c r="B160" s="7" t="s">
        <v>105</v>
      </c>
      <c r="C160" s="32" t="s">
        <v>287</v>
      </c>
      <c r="D160" s="35">
        <v>0</v>
      </c>
      <c r="F160" s="27">
        <f>ROUND(SUMIF(Определители!I16:I24,"=;",'Текущие цены с учетом расхода'!AF16:AF24),2)</f>
        <v>0</v>
      </c>
      <c r="G160" s="27"/>
      <c r="H160" s="27"/>
      <c r="I160" s="27"/>
      <c r="J160" s="31"/>
      <c r="K160" s="31"/>
      <c r="L160" s="27"/>
    </row>
    <row r="161" spans="1:12" ht="10.5">
      <c r="A161" s="28">
        <v>61</v>
      </c>
      <c r="B161" s="7" t="s">
        <v>106</v>
      </c>
      <c r="C161" s="32" t="s">
        <v>287</v>
      </c>
      <c r="D161" s="35">
        <v>0</v>
      </c>
      <c r="F161" s="27">
        <f>ROUND(SUMIF(Определители!I16:I24,"=;",'Текущие цены с учетом расхода'!AG16:AG24),2)</f>
        <v>0</v>
      </c>
      <c r="G161" s="27"/>
      <c r="H161" s="27"/>
      <c r="I161" s="27"/>
      <c r="J161" s="31"/>
      <c r="K161" s="31"/>
      <c r="L161" s="27"/>
    </row>
    <row r="162" spans="1:12" ht="10.5">
      <c r="A162" s="28">
        <v>62</v>
      </c>
      <c r="B162" s="7" t="s">
        <v>87</v>
      </c>
      <c r="C162" s="32" t="s">
        <v>287</v>
      </c>
      <c r="D162" s="35">
        <v>0</v>
      </c>
      <c r="F162" s="27">
        <f>ROUND(SUMIF(Определители!I16:I24,"=;",'Текущие цены с учетом расхода'!N16:N24),2)</f>
        <v>0</v>
      </c>
      <c r="G162" s="27"/>
      <c r="H162" s="27"/>
      <c r="I162" s="27"/>
      <c r="J162" s="31"/>
      <c r="K162" s="31"/>
      <c r="L162" s="27"/>
    </row>
    <row r="163" spans="1:12" ht="10.5">
      <c r="A163" s="28">
        <v>63</v>
      </c>
      <c r="B163" s="7" t="s">
        <v>88</v>
      </c>
      <c r="C163" s="32" t="s">
        <v>287</v>
      </c>
      <c r="D163" s="35">
        <v>0</v>
      </c>
      <c r="F163" s="27">
        <f>ROUND(SUMIF(Определители!I16:I24,"=;",'Текущие цены с учетом расхода'!O16:O24),2)</f>
        <v>0</v>
      </c>
      <c r="G163" s="27"/>
      <c r="H163" s="27"/>
      <c r="I163" s="27"/>
      <c r="J163" s="31"/>
      <c r="K163" s="31"/>
      <c r="L163" s="27"/>
    </row>
    <row r="164" spans="1:12" ht="10.5">
      <c r="A164" s="28">
        <v>64</v>
      </c>
      <c r="B164" s="7" t="s">
        <v>107</v>
      </c>
      <c r="C164" s="32" t="s">
        <v>288</v>
      </c>
      <c r="D164" s="35">
        <v>0</v>
      </c>
      <c r="F164" s="27">
        <f>ROUND((F159+F162+F163),2)</f>
        <v>0</v>
      </c>
      <c r="G164" s="27"/>
      <c r="H164" s="27"/>
      <c r="I164" s="27"/>
      <c r="J164" s="31"/>
      <c r="K164" s="31"/>
      <c r="L164" s="27"/>
    </row>
    <row r="165" spans="1:12" ht="10.5">
      <c r="A165" s="28">
        <v>65</v>
      </c>
      <c r="B165" s="7" t="s">
        <v>108</v>
      </c>
      <c r="C165" s="32" t="s">
        <v>287</v>
      </c>
      <c r="D165" s="35">
        <v>0</v>
      </c>
      <c r="F165" s="27">
        <f>ROUND(SUMIF(Определители!I16:I24,"=9",'Текущие цены с учетом расхода'!B16:B24),2)</f>
        <v>0</v>
      </c>
      <c r="G165" s="27">
        <f>ROUND(SUMIF(Определители!I16:I24,"=9",'Текущие цены с учетом расхода'!C16:C24),2)</f>
        <v>0</v>
      </c>
      <c r="H165" s="27">
        <f>ROUND(SUMIF(Определители!I16:I24,"=9",'Текущие цены с учетом расхода'!D16:D24),2)</f>
        <v>0</v>
      </c>
      <c r="I165" s="27">
        <f>ROUND(SUMIF(Определители!I16:I24,"=9",'Текущие цены с учетом расхода'!E16:E24),2)</f>
        <v>0</v>
      </c>
      <c r="J165" s="31">
        <f>ROUND(SUMIF(Определители!I16:I24,"=9",'Текущие цены с учетом расхода'!I16:I24),8)</f>
        <v>0</v>
      </c>
      <c r="K165" s="31">
        <f>ROUND(SUMIF(Определители!I16:I24,"=9",'Текущие цены с учетом расхода'!K16:K24),8)</f>
        <v>0</v>
      </c>
      <c r="L165" s="27">
        <f>ROUND(SUMIF(Определители!I16:I24,"=9",'Текущие цены с учетом расхода'!F16:F24),2)</f>
        <v>0</v>
      </c>
    </row>
    <row r="166" spans="1:12" ht="10.5">
      <c r="A166" s="28">
        <v>66</v>
      </c>
      <c r="B166" s="7" t="s">
        <v>87</v>
      </c>
      <c r="C166" s="32" t="s">
        <v>287</v>
      </c>
      <c r="D166" s="35">
        <v>0</v>
      </c>
      <c r="F166" s="27">
        <f>ROUND(SUMIF(Определители!I16:I24,"=9",'Текущие цены с учетом расхода'!N16:N24),2)</f>
        <v>0</v>
      </c>
      <c r="G166" s="27"/>
      <c r="H166" s="27"/>
      <c r="I166" s="27"/>
      <c r="J166" s="31"/>
      <c r="K166" s="31"/>
      <c r="L166" s="27"/>
    </row>
    <row r="167" spans="1:12" ht="10.5">
      <c r="A167" s="28">
        <v>67</v>
      </c>
      <c r="B167" s="7" t="s">
        <v>88</v>
      </c>
      <c r="C167" s="32" t="s">
        <v>287</v>
      </c>
      <c r="D167" s="35">
        <v>0</v>
      </c>
      <c r="F167" s="27">
        <f>ROUND(SUMIF(Определители!I16:I24,"=9",'Текущие цены с учетом расхода'!O16:O24),2)</f>
        <v>0</v>
      </c>
      <c r="G167" s="27"/>
      <c r="H167" s="27"/>
      <c r="I167" s="27"/>
      <c r="J167" s="31"/>
      <c r="K167" s="31"/>
      <c r="L167" s="27"/>
    </row>
    <row r="168" spans="1:12" ht="10.5">
      <c r="A168" s="28">
        <v>68</v>
      </c>
      <c r="B168" s="7" t="s">
        <v>109</v>
      </c>
      <c r="C168" s="32" t="s">
        <v>288</v>
      </c>
      <c r="D168" s="35">
        <v>0</v>
      </c>
      <c r="F168" s="27">
        <f>ROUND((F165+F166+F167),2)</f>
        <v>0</v>
      </c>
      <c r="G168" s="27"/>
      <c r="H168" s="27"/>
      <c r="I168" s="27"/>
      <c r="J168" s="31"/>
      <c r="K168" s="31"/>
      <c r="L168" s="27"/>
    </row>
    <row r="169" spans="1:12" ht="10.5">
      <c r="A169" s="28">
        <v>69</v>
      </c>
      <c r="B169" s="7" t="s">
        <v>110</v>
      </c>
      <c r="C169" s="32" t="s">
        <v>287</v>
      </c>
      <c r="D169" s="35">
        <v>0</v>
      </c>
      <c r="F169" s="27">
        <f>ROUND(SUMIF(Определители!I16:I24,"=:",'Текущие цены с учетом расхода'!B16:B24),2)</f>
        <v>0</v>
      </c>
      <c r="G169" s="27">
        <f>ROUND(SUMIF(Определители!I16:I24,"=:",'Текущие цены с учетом расхода'!C16:C24),2)</f>
        <v>0</v>
      </c>
      <c r="H169" s="27">
        <f>ROUND(SUMIF(Определители!I16:I24,"=:",'Текущие цены с учетом расхода'!D16:D24),2)</f>
        <v>0</v>
      </c>
      <c r="I169" s="27">
        <f>ROUND(SUMIF(Определители!I16:I24,"=:",'Текущие цены с учетом расхода'!E16:E24),2)</f>
        <v>0</v>
      </c>
      <c r="J169" s="31">
        <f>ROUND(SUMIF(Определители!I16:I24,"=:",'Текущие цены с учетом расхода'!I16:I24),8)</f>
        <v>0</v>
      </c>
      <c r="K169" s="31">
        <f>ROUND(SUMIF(Определители!I16:I24,"=:",'Текущие цены с учетом расхода'!K16:K24),8)</f>
        <v>0</v>
      </c>
      <c r="L169" s="27">
        <f>ROUND(SUMIF(Определители!I16:I24,"=:",'Текущие цены с учетом расхода'!F16:F24),2)</f>
        <v>0</v>
      </c>
    </row>
    <row r="170" spans="1:12" ht="10.5">
      <c r="A170" s="28">
        <v>70</v>
      </c>
      <c r="B170" s="7" t="s">
        <v>86</v>
      </c>
      <c r="C170" s="32" t="s">
        <v>287</v>
      </c>
      <c r="D170" s="35">
        <v>0</v>
      </c>
      <c r="F170" s="27">
        <f>ROUND(SUMIF(Определители!I16:I24,"=:",'Текущие цены с учетом расхода'!H16:H24),2)</f>
        <v>0</v>
      </c>
      <c r="G170" s="27"/>
      <c r="H170" s="27"/>
      <c r="I170" s="27"/>
      <c r="J170" s="31"/>
      <c r="K170" s="31"/>
      <c r="L170" s="27"/>
    </row>
    <row r="171" spans="1:12" ht="10.5">
      <c r="A171" s="28">
        <v>71</v>
      </c>
      <c r="B171" s="7" t="s">
        <v>87</v>
      </c>
      <c r="C171" s="32" t="s">
        <v>287</v>
      </c>
      <c r="D171" s="35">
        <v>0</v>
      </c>
      <c r="F171" s="27">
        <f>ROUND(SUMIF(Определители!I16:I24,"=:",'Текущие цены с учетом расхода'!N16:N24),2)</f>
        <v>0</v>
      </c>
      <c r="G171" s="27"/>
      <c r="H171" s="27"/>
      <c r="I171" s="27"/>
      <c r="J171" s="31"/>
      <c r="K171" s="31"/>
      <c r="L171" s="27"/>
    </row>
    <row r="172" spans="1:12" ht="10.5">
      <c r="A172" s="28">
        <v>72</v>
      </c>
      <c r="B172" s="7" t="s">
        <v>88</v>
      </c>
      <c r="C172" s="32" t="s">
        <v>287</v>
      </c>
      <c r="D172" s="35">
        <v>0</v>
      </c>
      <c r="F172" s="27">
        <f>ROUND(SUMIF(Определители!I16:I24,"=:",'Текущие цены с учетом расхода'!O16:O24),2)</f>
        <v>0</v>
      </c>
      <c r="G172" s="27"/>
      <c r="H172" s="27"/>
      <c r="I172" s="27"/>
      <c r="J172" s="31"/>
      <c r="K172" s="31"/>
      <c r="L172" s="27"/>
    </row>
    <row r="173" spans="1:12" ht="10.5">
      <c r="A173" s="28">
        <v>73</v>
      </c>
      <c r="B173" s="7" t="s">
        <v>111</v>
      </c>
      <c r="C173" s="32" t="s">
        <v>288</v>
      </c>
      <c r="D173" s="35">
        <v>0</v>
      </c>
      <c r="F173" s="27">
        <f>ROUND((F169+F171+F172),2)</f>
        <v>0</v>
      </c>
      <c r="G173" s="27"/>
      <c r="H173" s="27"/>
      <c r="I173" s="27"/>
      <c r="J173" s="31"/>
      <c r="K173" s="31"/>
      <c r="L173" s="27"/>
    </row>
    <row r="174" spans="1:12" ht="10.5">
      <c r="A174" s="28">
        <v>74</v>
      </c>
      <c r="B174" s="7" t="s">
        <v>112</v>
      </c>
      <c r="C174" s="32" t="s">
        <v>287</v>
      </c>
      <c r="D174" s="35">
        <v>0</v>
      </c>
      <c r="F174" s="27">
        <f>ROUND(SUMIF(Определители!I16:I24,"=8",'Текущие цены с учетом расхода'!B16:B24),2)</f>
        <v>0</v>
      </c>
      <c r="G174" s="27">
        <f>ROUND(SUMIF(Определители!I16:I24,"=8",'Текущие цены с учетом расхода'!C16:C24),2)</f>
        <v>0</v>
      </c>
      <c r="H174" s="27">
        <f>ROUND(SUMIF(Определители!I16:I24,"=8",'Текущие цены с учетом расхода'!D16:D24),2)</f>
        <v>0</v>
      </c>
      <c r="I174" s="27">
        <f>ROUND(SUMIF(Определители!I16:I24,"=8",'Текущие цены с учетом расхода'!E16:E24),2)</f>
        <v>0</v>
      </c>
      <c r="J174" s="31">
        <f>ROUND(SUMIF(Определители!I16:I24,"=8",'Текущие цены с учетом расхода'!I16:I24),8)</f>
        <v>0</v>
      </c>
      <c r="K174" s="31">
        <f>ROUND(SUMIF(Определители!I16:I24,"=8",'Текущие цены с учетом расхода'!K16:K24),8)</f>
        <v>0</v>
      </c>
      <c r="L174" s="27">
        <f>ROUND(SUMIF(Определители!I16:I24,"=8",'Текущие цены с учетом расхода'!F16:F24),2)</f>
        <v>0</v>
      </c>
    </row>
    <row r="175" spans="1:12" ht="10.5">
      <c r="A175" s="28">
        <v>75</v>
      </c>
      <c r="B175" s="7" t="s">
        <v>86</v>
      </c>
      <c r="C175" s="32" t="s">
        <v>287</v>
      </c>
      <c r="D175" s="35">
        <v>0</v>
      </c>
      <c r="F175" s="27">
        <f>ROUND(SUMIF(Определители!I16:I24,"=8",'Текущие цены с учетом расхода'!H16:H24),2)</f>
        <v>0</v>
      </c>
      <c r="G175" s="27"/>
      <c r="H175" s="27"/>
      <c r="I175" s="27"/>
      <c r="J175" s="31"/>
      <c r="K175" s="31"/>
      <c r="L175" s="27"/>
    </row>
    <row r="176" spans="1:12" ht="10.5">
      <c r="A176" s="28">
        <v>76</v>
      </c>
      <c r="B176" s="7" t="s">
        <v>171</v>
      </c>
      <c r="C176" s="32" t="s">
        <v>288</v>
      </c>
      <c r="D176" s="35">
        <v>0</v>
      </c>
      <c r="F176" s="27">
        <f>ROUND((F111+F121+F128+F133+F141+F146+F151+F158+F168+F173+F174+F164),2)</f>
        <v>233598.11</v>
      </c>
      <c r="G176" s="27">
        <f>ROUND((G111+G121+G128+G133+G141+G146+G151+G158+G168+G173+G174+G164),2)</f>
        <v>0</v>
      </c>
      <c r="H176" s="27">
        <f>ROUND((H111+H121+H128+H133+H141+H146+H151+H158+H168+H173+H174+H164),2)</f>
        <v>0</v>
      </c>
      <c r="I176" s="27">
        <f>ROUND((I111+I121+I128+I133+I141+I146+I151+I158+I168+I173+I174+I164),2)</f>
        <v>0</v>
      </c>
      <c r="J176" s="31">
        <f>ROUND((J111+J121+J128+J133+J141+J146+J151+J158+J168+J173+J174+J164),8)</f>
        <v>0</v>
      </c>
      <c r="K176" s="31">
        <f>ROUND((K111+K121+K128+K133+K141+K146+K151+K158+K168+K173+K174+K164),8)</f>
        <v>0</v>
      </c>
      <c r="L176" s="27">
        <f>ROUND((L111+L121+L128+L133+L141+L146+L151+L158+L168+L173+L174+L164),2)</f>
        <v>0</v>
      </c>
    </row>
    <row r="177" spans="1:12" ht="10.5">
      <c r="A177" s="28">
        <v>77</v>
      </c>
      <c r="B177" s="7" t="s">
        <v>113</v>
      </c>
      <c r="C177" s="32" t="s">
        <v>288</v>
      </c>
      <c r="D177" s="35">
        <v>0</v>
      </c>
      <c r="F177" s="27">
        <f>ROUND((F117+F125+F130+F137+F143+F148+F155+F170+F175),2)</f>
        <v>0</v>
      </c>
      <c r="G177" s="27"/>
      <c r="H177" s="27"/>
      <c r="I177" s="27"/>
      <c r="J177" s="31"/>
      <c r="K177" s="31"/>
      <c r="L177" s="27"/>
    </row>
    <row r="178" spans="1:12" ht="10.5">
      <c r="A178" s="28">
        <v>78</v>
      </c>
      <c r="B178" s="7" t="s">
        <v>114</v>
      </c>
      <c r="C178" s="32" t="s">
        <v>288</v>
      </c>
      <c r="D178" s="35">
        <v>0</v>
      </c>
      <c r="F178" s="27">
        <f>ROUND((F118+F126+F131+F138+F144+F149+F156+F166+F171+F162),2)</f>
        <v>70599.54</v>
      </c>
      <c r="G178" s="27"/>
      <c r="H178" s="27"/>
      <c r="I178" s="27"/>
      <c r="J178" s="31"/>
      <c r="K178" s="31"/>
      <c r="L178" s="27"/>
    </row>
    <row r="179" spans="1:12" ht="10.5">
      <c r="A179" s="28">
        <v>79</v>
      </c>
      <c r="B179" s="7" t="s">
        <v>115</v>
      </c>
      <c r="C179" s="32" t="s">
        <v>288</v>
      </c>
      <c r="D179" s="35">
        <v>0</v>
      </c>
      <c r="F179" s="27">
        <f>ROUND((F119+F127+F132+F139+F145+F150+F157+F167+F172+F163),2)</f>
        <v>40658.39</v>
      </c>
      <c r="G179" s="27"/>
      <c r="H179" s="27"/>
      <c r="I179" s="27"/>
      <c r="J179" s="31"/>
      <c r="K179" s="31"/>
      <c r="L179" s="27"/>
    </row>
    <row r="180" spans="1:12" ht="10.5">
      <c r="A180" s="28">
        <v>80</v>
      </c>
      <c r="B180" s="7" t="s">
        <v>38</v>
      </c>
      <c r="C180" s="32" t="s">
        <v>289</v>
      </c>
      <c r="D180" s="35">
        <v>0</v>
      </c>
      <c r="F180" s="27">
        <f>ROUND(SUM('Текущие цены с учетом расхода'!X16:X24),2)</f>
        <v>0</v>
      </c>
      <c r="G180" s="27"/>
      <c r="H180" s="27"/>
      <c r="I180" s="27"/>
      <c r="J180" s="31"/>
      <c r="K180" s="31"/>
      <c r="L180" s="27">
        <f>ROUND(SUM('Текущие цены с учетом расхода'!X16:X24),2)</f>
        <v>0</v>
      </c>
    </row>
    <row r="181" spans="1:12" ht="10.5">
      <c r="A181" s="28">
        <v>81</v>
      </c>
      <c r="B181" s="7" t="s">
        <v>116</v>
      </c>
      <c r="C181" s="32" t="s">
        <v>289</v>
      </c>
      <c r="D181" s="35">
        <v>0</v>
      </c>
      <c r="F181" s="27">
        <f>ROUND(SUM(G181:N181),2)</f>
        <v>0</v>
      </c>
      <c r="G181" s="27"/>
      <c r="H181" s="27"/>
      <c r="I181" s="27"/>
      <c r="J181" s="31"/>
      <c r="K181" s="31"/>
      <c r="L181" s="27">
        <f>ROUND(SUM('Текущие цены с учетом расхода'!AE16:AE24),2)</f>
        <v>0</v>
      </c>
    </row>
    <row r="182" spans="1:12" ht="10.5">
      <c r="A182" s="28">
        <v>82</v>
      </c>
      <c r="B182" s="7" t="s">
        <v>117</v>
      </c>
      <c r="C182" s="32" t="s">
        <v>289</v>
      </c>
      <c r="D182" s="35">
        <v>0</v>
      </c>
      <c r="F182" s="27">
        <f>ROUND(SUM('Текущие цены с учетом расхода'!C16:C24),2)</f>
        <v>61915.31</v>
      </c>
      <c r="G182" s="27"/>
      <c r="H182" s="27"/>
      <c r="I182" s="27"/>
      <c r="J182" s="31"/>
      <c r="K182" s="31"/>
      <c r="L182" s="27"/>
    </row>
    <row r="183" spans="1:12" ht="10.5">
      <c r="A183" s="28">
        <v>83</v>
      </c>
      <c r="B183" s="7" t="s">
        <v>118</v>
      </c>
      <c r="C183" s="32" t="s">
        <v>289</v>
      </c>
      <c r="D183" s="35">
        <v>0</v>
      </c>
      <c r="F183" s="27">
        <f>ROUND(SUM('Текущие цены с учетом расхода'!E16:E24),2)</f>
        <v>1886.08</v>
      </c>
      <c r="G183" s="27"/>
      <c r="H183" s="27"/>
      <c r="I183" s="27"/>
      <c r="J183" s="31"/>
      <c r="K183" s="31"/>
      <c r="L183" s="27"/>
    </row>
    <row r="184" spans="1:12" ht="10.5">
      <c r="A184" s="28">
        <v>84</v>
      </c>
      <c r="B184" s="7" t="s">
        <v>119</v>
      </c>
      <c r="C184" s="32" t="s">
        <v>290</v>
      </c>
      <c r="D184" s="35">
        <v>0</v>
      </c>
      <c r="F184" s="27">
        <f>ROUND((F182+F183),2)</f>
        <v>63801.39</v>
      </c>
      <c r="G184" s="27"/>
      <c r="H184" s="27"/>
      <c r="I184" s="27"/>
      <c r="J184" s="31"/>
      <c r="K184" s="31"/>
      <c r="L184" s="27"/>
    </row>
    <row r="185" spans="1:12" ht="10.5">
      <c r="A185" s="28">
        <v>85</v>
      </c>
      <c r="B185" s="7" t="s">
        <v>120</v>
      </c>
      <c r="C185" s="32" t="s">
        <v>289</v>
      </c>
      <c r="D185" s="35">
        <v>0</v>
      </c>
      <c r="F185" s="27"/>
      <c r="G185" s="27"/>
      <c r="H185" s="27"/>
      <c r="I185" s="27"/>
      <c r="J185" s="31">
        <f>ROUND(SUM('Текущие цены с учетом расхода'!I16:I24),8)</f>
        <v>268.566975</v>
      </c>
      <c r="K185" s="31"/>
      <c r="L185" s="27"/>
    </row>
    <row r="186" spans="1:12" ht="10.5">
      <c r="A186" s="28">
        <v>86</v>
      </c>
      <c r="B186" s="7" t="s">
        <v>121</v>
      </c>
      <c r="C186" s="32" t="s">
        <v>289</v>
      </c>
      <c r="D186" s="35">
        <v>0</v>
      </c>
      <c r="F186" s="27"/>
      <c r="G186" s="27"/>
      <c r="H186" s="27"/>
      <c r="I186" s="27"/>
      <c r="J186" s="31">
        <f>ROUND(SUM('Текущие цены с учетом расхода'!K16:K24),8)</f>
        <v>6.304375</v>
      </c>
      <c r="K186" s="31"/>
      <c r="L186" s="27"/>
    </row>
    <row r="187" spans="1:12" ht="10.5">
      <c r="A187" s="28">
        <v>87</v>
      </c>
      <c r="B187" s="7" t="s">
        <v>122</v>
      </c>
      <c r="C187" s="32" t="s">
        <v>290</v>
      </c>
      <c r="D187" s="35">
        <v>0</v>
      </c>
      <c r="F187" s="27"/>
      <c r="G187" s="27"/>
      <c r="H187" s="27"/>
      <c r="I187" s="27"/>
      <c r="J187" s="31">
        <f>ROUND((J185+J186),8)</f>
        <v>274.87135</v>
      </c>
      <c r="K187" s="31"/>
      <c r="L187" s="27"/>
    </row>
    <row r="188" spans="1:13" s="29" customFormat="1" ht="10.5">
      <c r="A188" s="5"/>
      <c r="B188" s="29" t="s">
        <v>274</v>
      </c>
      <c r="C188" s="29" t="s">
        <v>275</v>
      </c>
      <c r="D188" s="36" t="s">
        <v>276</v>
      </c>
      <c r="E188" s="29" t="s">
        <v>277</v>
      </c>
      <c r="F188" s="29" t="s">
        <v>278</v>
      </c>
      <c r="G188" s="29" t="s">
        <v>279</v>
      </c>
      <c r="H188" s="29" t="s">
        <v>280</v>
      </c>
      <c r="I188" s="29" t="s">
        <v>281</v>
      </c>
      <c r="J188" s="29" t="s">
        <v>282</v>
      </c>
      <c r="K188" s="29" t="s">
        <v>283</v>
      </c>
      <c r="L188" s="29" t="s">
        <v>284</v>
      </c>
      <c r="M188" s="29" t="s">
        <v>285</v>
      </c>
    </row>
    <row r="189" spans="1:14" ht="10.5">
      <c r="A189" s="28">
        <v>1</v>
      </c>
      <c r="B189" s="7" t="s">
        <v>170</v>
      </c>
      <c r="C189" s="32" t="s">
        <v>286</v>
      </c>
      <c r="D189" s="35">
        <v>0</v>
      </c>
      <c r="E189" s="35"/>
      <c r="F189" s="27">
        <f>ROUND(SUM('Текущие цены с учетом расхода'!B6:B24),2)</f>
        <v>126069.67</v>
      </c>
      <c r="G189" s="27">
        <f>ROUND(SUM('Текущие цены с учетом расхода'!C6:C24),2)</f>
        <v>65619.36</v>
      </c>
      <c r="H189" s="27">
        <f>ROUND(SUM('Текущие цены с учетом расхода'!D6:D24),2)</f>
        <v>3268.69</v>
      </c>
      <c r="I189" s="27">
        <f>ROUND(SUM('Текущие цены с учетом расхода'!E6:E24),2)</f>
        <v>1909.16</v>
      </c>
      <c r="J189" s="31">
        <f>ROUND(SUM('Текущие цены с учетом расхода'!I6:I24),8)</f>
        <v>286.677975</v>
      </c>
      <c r="K189" s="31">
        <f>ROUND(SUM('Текущие цены с учетом расхода'!K6:K24),8)</f>
        <v>6.369375</v>
      </c>
      <c r="L189" s="27">
        <f>ROUND(SUM('Текущие цены с учетом расхода'!F6:F24),2)</f>
        <v>57181.62</v>
      </c>
      <c r="N189" s="32" t="s">
        <v>270</v>
      </c>
    </row>
    <row r="190" spans="1:14" ht="10.5">
      <c r="A190" s="28">
        <v>2</v>
      </c>
      <c r="B190" s="7" t="s">
        <v>71</v>
      </c>
      <c r="C190" s="32" t="s">
        <v>287</v>
      </c>
      <c r="D190" s="35">
        <v>0</v>
      </c>
      <c r="F190" s="27">
        <f>ROUND(SUMIF(Определители!I6:I24,"= ",'Текущие цены с учетом расхода'!B6:B24),2)</f>
        <v>0</v>
      </c>
      <c r="G190" s="27">
        <f>ROUND(SUMIF(Определители!I6:I24,"= ",'Текущие цены с учетом расхода'!C6:C24),2)</f>
        <v>0</v>
      </c>
      <c r="H190" s="27">
        <f>ROUND(SUMIF(Определители!I6:I24,"= ",'Текущие цены с учетом расхода'!D6:D24),2)</f>
        <v>0</v>
      </c>
      <c r="I190" s="27">
        <f>ROUND(SUMIF(Определители!I6:I24,"= ",'Текущие цены с учетом расхода'!E6:E24),2)</f>
        <v>0</v>
      </c>
      <c r="J190" s="31">
        <f>ROUND(SUMIF(Определители!I6:I24,"= ",'Текущие цены с учетом расхода'!I6:I24),8)</f>
        <v>0</v>
      </c>
      <c r="K190" s="31">
        <f>ROUND(SUMIF(Определители!I6:I24,"= ",'Текущие цены с учетом расхода'!K6:K24),8)</f>
        <v>0</v>
      </c>
      <c r="L190" s="27">
        <f>ROUND(SUMIF(Определители!I6:I24,"= ",'Текущие цены с учетом расхода'!F6:F24),2)</f>
        <v>0</v>
      </c>
      <c r="N190" s="32" t="s">
        <v>273</v>
      </c>
    </row>
    <row r="191" spans="1:14" ht="10.5">
      <c r="A191" s="28">
        <v>3</v>
      </c>
      <c r="B191" s="7" t="s">
        <v>72</v>
      </c>
      <c r="C191" s="32" t="s">
        <v>287</v>
      </c>
      <c r="D191" s="35">
        <v>0</v>
      </c>
      <c r="F191" s="27">
        <f>ROUND(СУММПРОИЗВЕСЛИ(0.01,Определители!I6:I24," ",'Текущие цены с учетом расхода'!B6:B24,Начисления!X6:X24,0),2)</f>
        <v>0</v>
      </c>
      <c r="G191" s="27"/>
      <c r="H191" s="27"/>
      <c r="I191" s="27"/>
      <c r="J191" s="31"/>
      <c r="K191" s="31"/>
      <c r="L191" s="27"/>
      <c r="N191" s="32" t="s">
        <v>291</v>
      </c>
    </row>
    <row r="192" spans="1:14" ht="10.5">
      <c r="A192" s="28">
        <v>4</v>
      </c>
      <c r="B192" s="7" t="s">
        <v>73</v>
      </c>
      <c r="C192" s="32" t="s">
        <v>287</v>
      </c>
      <c r="D192" s="35">
        <v>0</v>
      </c>
      <c r="F192" s="27">
        <f>ROUND(СУММПРОИЗВЕСЛИ(0.01,Определители!I6:I24," ",'Текущие цены с учетом расхода'!B6:B24,Начисления!Y6:Y24,0),2)</f>
        <v>0</v>
      </c>
      <c r="G192" s="27"/>
      <c r="H192" s="27"/>
      <c r="I192" s="27"/>
      <c r="J192" s="31"/>
      <c r="K192" s="31"/>
      <c r="L192" s="27"/>
      <c r="N192" s="32" t="s">
        <v>292</v>
      </c>
    </row>
    <row r="193" spans="1:14" ht="10.5">
      <c r="A193" s="28">
        <v>5</v>
      </c>
      <c r="B193" s="7" t="s">
        <v>74</v>
      </c>
      <c r="C193" s="32" t="s">
        <v>287</v>
      </c>
      <c r="D193" s="35">
        <v>0</v>
      </c>
      <c r="F193" s="27">
        <f>ROUND(ТРАНСПРАСХОД(Определители!B6:B24,Определители!H6:H24,Определители!I6:I24,'Текущие цены с учетом расхода'!B6:B24,Начисления!Z6:Z24,Начисления!AA6:AA24),2)</f>
        <v>0</v>
      </c>
      <c r="G193" s="27"/>
      <c r="H193" s="27"/>
      <c r="I193" s="27"/>
      <c r="J193" s="31"/>
      <c r="K193" s="31"/>
      <c r="L193" s="27"/>
      <c r="N193" s="32" t="s">
        <v>293</v>
      </c>
    </row>
    <row r="194" spans="1:14" ht="10.5">
      <c r="A194" s="28">
        <v>6</v>
      </c>
      <c r="B194" s="7" t="s">
        <v>75</v>
      </c>
      <c r="C194" s="32" t="s">
        <v>287</v>
      </c>
      <c r="D194" s="35">
        <v>0</v>
      </c>
      <c r="F194" s="27">
        <f>ROUND(СУММПРОИЗВЕСЛИ(0.01,Определители!I6:I24," ",'Текущие цены с учетом расхода'!B6:B24,Начисления!AC6:AC24,0),2)</f>
        <v>0</v>
      </c>
      <c r="G194" s="27"/>
      <c r="H194" s="27"/>
      <c r="I194" s="27"/>
      <c r="J194" s="31"/>
      <c r="K194" s="31"/>
      <c r="L194" s="27"/>
      <c r="N194" s="32" t="s">
        <v>294</v>
      </c>
    </row>
    <row r="195" spans="1:14" ht="10.5">
      <c r="A195" s="28">
        <v>7</v>
      </c>
      <c r="B195" s="7" t="s">
        <v>76</v>
      </c>
      <c r="C195" s="32" t="s">
        <v>287</v>
      </c>
      <c r="D195" s="35">
        <v>0</v>
      </c>
      <c r="F195" s="27">
        <f>ROUND(СУММПРОИЗВЕСЛИ(0.01,Определители!I6:I24," ",'Текущие цены с учетом расхода'!B6:B24,Начисления!AF6:AF24,0),2)</f>
        <v>0</v>
      </c>
      <c r="G195" s="27"/>
      <c r="H195" s="27"/>
      <c r="I195" s="27"/>
      <c r="J195" s="31"/>
      <c r="K195" s="31"/>
      <c r="L195" s="27"/>
      <c r="N195" s="32" t="s">
        <v>295</v>
      </c>
    </row>
    <row r="196" spans="1:14" ht="10.5">
      <c r="A196" s="28">
        <v>8</v>
      </c>
      <c r="B196" s="7" t="s">
        <v>77</v>
      </c>
      <c r="C196" s="32" t="s">
        <v>287</v>
      </c>
      <c r="D196" s="35">
        <v>0</v>
      </c>
      <c r="F196" s="27">
        <f>ROUND(ЗАГОТСКЛАДРАСХОД(Определители!B6:B24,Определители!H6:H24,Определители!I6:I24,'Текущие цены с учетом расхода'!B6:B24,Начисления!X6:X24,Начисления!Y6:Y24,Начисления!Z6:Z24,Начисления!AA6:AA24,Начисления!AB6:AB24,Начисления!AC6:AC24,Начисления!AF6:AF24),2)</f>
        <v>0</v>
      </c>
      <c r="G196" s="27"/>
      <c r="H196" s="27"/>
      <c r="I196" s="27"/>
      <c r="J196" s="31"/>
      <c r="K196" s="31"/>
      <c r="L196" s="27"/>
      <c r="N196" s="32" t="s">
        <v>296</v>
      </c>
    </row>
    <row r="197" spans="1:14" ht="10.5">
      <c r="A197" s="28">
        <v>9</v>
      </c>
      <c r="B197" s="7" t="s">
        <v>78</v>
      </c>
      <c r="C197" s="32" t="s">
        <v>287</v>
      </c>
      <c r="D197" s="35">
        <v>0</v>
      </c>
      <c r="F197" s="27">
        <f>ROUND(СУММПРОИЗВЕСЛИ(1,Определители!I6:I24," ",'Текущие цены с учетом расхода'!M6:M24,Начисления!I6:I24,0),2)</f>
        <v>0</v>
      </c>
      <c r="G197" s="27"/>
      <c r="H197" s="27"/>
      <c r="I197" s="27"/>
      <c r="J197" s="31"/>
      <c r="K197" s="31"/>
      <c r="L197" s="27"/>
      <c r="N197" s="32" t="s">
        <v>297</v>
      </c>
    </row>
    <row r="198" spans="1:14" ht="10.5">
      <c r="A198" s="28">
        <v>10</v>
      </c>
      <c r="B198" s="7" t="s">
        <v>79</v>
      </c>
      <c r="C198" s="32" t="s">
        <v>288</v>
      </c>
      <c r="D198" s="35">
        <v>0</v>
      </c>
      <c r="F198" s="27">
        <f>ROUND((F197+F208+F228),2)</f>
        <v>0</v>
      </c>
      <c r="G198" s="27"/>
      <c r="H198" s="27"/>
      <c r="I198" s="27"/>
      <c r="J198" s="31"/>
      <c r="K198" s="31"/>
      <c r="L198" s="27"/>
      <c r="N198" s="32" t="s">
        <v>298</v>
      </c>
    </row>
    <row r="199" spans="1:14" ht="10.5">
      <c r="A199" s="28">
        <v>11</v>
      </c>
      <c r="B199" s="7" t="s">
        <v>80</v>
      </c>
      <c r="C199" s="32" t="s">
        <v>288</v>
      </c>
      <c r="D199" s="35">
        <v>0</v>
      </c>
      <c r="F199" s="27">
        <f>ROUND((F190+F191+F192+F193+F194+F195+F196+F198),2)</f>
        <v>0</v>
      </c>
      <c r="G199" s="27"/>
      <c r="H199" s="27"/>
      <c r="I199" s="27"/>
      <c r="J199" s="31"/>
      <c r="K199" s="31"/>
      <c r="L199" s="27"/>
      <c r="N199" s="32" t="s">
        <v>299</v>
      </c>
    </row>
    <row r="200" spans="1:14" ht="10.5">
      <c r="A200" s="28">
        <v>12</v>
      </c>
      <c r="B200" s="7" t="s">
        <v>81</v>
      </c>
      <c r="C200" s="32" t="s">
        <v>287</v>
      </c>
      <c r="D200" s="35">
        <v>0</v>
      </c>
      <c r="F200" s="27">
        <f>ROUND(SUMIF(Определители!I6:I24,"=1",'Текущие цены с учетом расхода'!B6:B24),2)</f>
        <v>0</v>
      </c>
      <c r="G200" s="27">
        <f>ROUND(SUMIF(Определители!I6:I24,"=1",'Текущие цены с учетом расхода'!C6:C24),2)</f>
        <v>0</v>
      </c>
      <c r="H200" s="27">
        <f>ROUND(SUMIF(Определители!I6:I24,"=1",'Текущие цены с учетом расхода'!D6:D24),2)</f>
        <v>0</v>
      </c>
      <c r="I200" s="27">
        <f>ROUND(SUMIF(Определители!I6:I24,"=1",'Текущие цены с учетом расхода'!E6:E24),2)</f>
        <v>0</v>
      </c>
      <c r="J200" s="31">
        <f>ROUND(SUMIF(Определители!I6:I24,"=1",'Текущие цены с учетом расхода'!I6:I24),8)</f>
        <v>0</v>
      </c>
      <c r="K200" s="31">
        <f>ROUND(SUMIF(Определители!I6:I24,"=1",'Текущие цены с учетом расхода'!K6:K24),8)</f>
        <v>0</v>
      </c>
      <c r="L200" s="27">
        <f>ROUND(SUMIF(Определители!I6:I24,"=1",'Текущие цены с учетом расхода'!F6:F24),2)</f>
        <v>0</v>
      </c>
      <c r="N200" s="32" t="s">
        <v>300</v>
      </c>
    </row>
    <row r="201" spans="1:14" ht="10.5">
      <c r="A201" s="28">
        <v>13</v>
      </c>
      <c r="B201" s="7" t="s">
        <v>82</v>
      </c>
      <c r="C201" s="32" t="s">
        <v>287</v>
      </c>
      <c r="D201" s="35">
        <v>0</v>
      </c>
      <c r="F201" s="27"/>
      <c r="G201" s="27"/>
      <c r="H201" s="27"/>
      <c r="I201" s="27"/>
      <c r="J201" s="31"/>
      <c r="K201" s="31"/>
      <c r="L201" s="27"/>
      <c r="N201" s="32" t="s">
        <v>301</v>
      </c>
    </row>
    <row r="202" spans="1:14" ht="10.5">
      <c r="A202" s="28">
        <v>14</v>
      </c>
      <c r="B202" s="7" t="s">
        <v>83</v>
      </c>
      <c r="C202" s="32" t="s">
        <v>287</v>
      </c>
      <c r="D202" s="35">
        <v>0</v>
      </c>
      <c r="F202" s="27"/>
      <c r="G202" s="27">
        <f>ROUND(SUMIF(Определители!I6:I24,"=1",'Текущие цены с учетом расхода'!T6:T24),2)</f>
        <v>0</v>
      </c>
      <c r="H202" s="27"/>
      <c r="I202" s="27"/>
      <c r="J202" s="31"/>
      <c r="K202" s="31"/>
      <c r="L202" s="27"/>
      <c r="N202" s="32" t="s">
        <v>302</v>
      </c>
    </row>
    <row r="203" spans="1:14" ht="10.5">
      <c r="A203" s="28">
        <v>15</v>
      </c>
      <c r="B203" s="7" t="s">
        <v>84</v>
      </c>
      <c r="C203" s="32" t="s">
        <v>287</v>
      </c>
      <c r="D203" s="35">
        <v>0</v>
      </c>
      <c r="F203" s="27">
        <f>ROUND(SUMIF(Определители!I6:I24,"=1",'Текущие цены с учетом расхода'!U6:U24),2)</f>
        <v>0</v>
      </c>
      <c r="G203" s="27"/>
      <c r="H203" s="27"/>
      <c r="I203" s="27"/>
      <c r="J203" s="31"/>
      <c r="K203" s="31"/>
      <c r="L203" s="27"/>
      <c r="N203" s="32" t="s">
        <v>303</v>
      </c>
    </row>
    <row r="204" spans="1:14" ht="10.5">
      <c r="A204" s="28">
        <v>16</v>
      </c>
      <c r="B204" s="7" t="s">
        <v>85</v>
      </c>
      <c r="C204" s="32" t="s">
        <v>287</v>
      </c>
      <c r="D204" s="35">
        <v>0</v>
      </c>
      <c r="F204" s="27">
        <f>ROUND(СУММЕСЛИ2(Определители!I6:I24,"1",Определители!G6:G24,"1",'Текущие цены с учетом расхода'!B6:B24),2)</f>
        <v>0</v>
      </c>
      <c r="G204" s="27"/>
      <c r="H204" s="27"/>
      <c r="I204" s="27"/>
      <c r="J204" s="31"/>
      <c r="K204" s="31"/>
      <c r="L204" s="27"/>
      <c r="N204" s="32" t="s">
        <v>304</v>
      </c>
    </row>
    <row r="205" spans="1:14" ht="10.5">
      <c r="A205" s="28">
        <v>17</v>
      </c>
      <c r="B205" s="7" t="s">
        <v>86</v>
      </c>
      <c r="C205" s="32" t="s">
        <v>287</v>
      </c>
      <c r="D205" s="35">
        <v>0</v>
      </c>
      <c r="F205" s="27">
        <f>ROUND(SUMIF(Определители!I6:I24,"=1",'Текущие цены с учетом расхода'!H6:H24),2)</f>
        <v>0</v>
      </c>
      <c r="G205" s="27"/>
      <c r="H205" s="27"/>
      <c r="I205" s="27"/>
      <c r="J205" s="31"/>
      <c r="K205" s="31"/>
      <c r="L205" s="27"/>
      <c r="N205" s="32" t="s">
        <v>305</v>
      </c>
    </row>
    <row r="206" spans="1:14" ht="10.5">
      <c r="A206" s="28">
        <v>18</v>
      </c>
      <c r="B206" s="7" t="s">
        <v>87</v>
      </c>
      <c r="C206" s="32" t="s">
        <v>287</v>
      </c>
      <c r="D206" s="35">
        <v>0</v>
      </c>
      <c r="F206" s="27">
        <f>ROUND(SUMIF(Определители!I6:I24,"=1",'Текущие цены с учетом расхода'!N6:N24),2)</f>
        <v>0</v>
      </c>
      <c r="G206" s="27"/>
      <c r="H206" s="27"/>
      <c r="I206" s="27"/>
      <c r="J206" s="31"/>
      <c r="K206" s="31"/>
      <c r="L206" s="27"/>
      <c r="N206" s="32" t="s">
        <v>306</v>
      </c>
    </row>
    <row r="207" spans="1:14" ht="10.5">
      <c r="A207" s="28">
        <v>19</v>
      </c>
      <c r="B207" s="7" t="s">
        <v>88</v>
      </c>
      <c r="C207" s="32" t="s">
        <v>287</v>
      </c>
      <c r="D207" s="35">
        <v>0</v>
      </c>
      <c r="F207" s="27">
        <f>ROUND(SUMIF(Определители!I6:I24,"=1",'Текущие цены с учетом расхода'!O6:O24),2)</f>
        <v>0</v>
      </c>
      <c r="G207" s="27"/>
      <c r="H207" s="27"/>
      <c r="I207" s="27"/>
      <c r="J207" s="31"/>
      <c r="K207" s="31"/>
      <c r="L207" s="27"/>
      <c r="N207" s="32" t="s">
        <v>307</v>
      </c>
    </row>
    <row r="208" spans="1:14" ht="10.5">
      <c r="A208" s="28">
        <v>20</v>
      </c>
      <c r="B208" s="7" t="s">
        <v>79</v>
      </c>
      <c r="C208" s="32" t="s">
        <v>287</v>
      </c>
      <c r="D208" s="35">
        <v>0</v>
      </c>
      <c r="F208" s="27">
        <f>ROUND(СУММПРОИЗВЕСЛИ(1,Определители!I6:I24," ",'Текущие цены с учетом расхода'!M6:M24,Начисления!I6:I24,0),2)</f>
        <v>0</v>
      </c>
      <c r="G208" s="27"/>
      <c r="H208" s="27"/>
      <c r="I208" s="27"/>
      <c r="J208" s="31"/>
      <c r="K208" s="31"/>
      <c r="L208" s="27"/>
      <c r="N208" s="32" t="s">
        <v>308</v>
      </c>
    </row>
    <row r="209" spans="1:14" ht="10.5">
      <c r="A209" s="28">
        <v>21</v>
      </c>
      <c r="B209" s="7" t="s">
        <v>89</v>
      </c>
      <c r="C209" s="32" t="s">
        <v>288</v>
      </c>
      <c r="D209" s="35">
        <v>0</v>
      </c>
      <c r="F209" s="27">
        <f>ROUND((F200+F206+F207),2)</f>
        <v>0</v>
      </c>
      <c r="G209" s="27"/>
      <c r="H209" s="27"/>
      <c r="I209" s="27"/>
      <c r="J209" s="31"/>
      <c r="K209" s="31"/>
      <c r="L209" s="27"/>
      <c r="N209" s="32" t="s">
        <v>309</v>
      </c>
    </row>
    <row r="210" spans="1:14" ht="10.5">
      <c r="A210" s="28">
        <v>22</v>
      </c>
      <c r="B210" s="7" t="s">
        <v>90</v>
      </c>
      <c r="C210" s="32" t="s">
        <v>287</v>
      </c>
      <c r="D210" s="35">
        <v>0</v>
      </c>
      <c r="F210" s="27">
        <f>ROUND(SUMIF(Определители!I6:I24,"=2",'Текущие цены с учетом расхода'!B6:B24),2)</f>
        <v>126069.67</v>
      </c>
      <c r="G210" s="27">
        <f>ROUND(SUMIF(Определители!I6:I24,"=2",'Текущие цены с учетом расхода'!C6:C24),2)</f>
        <v>65619.36</v>
      </c>
      <c r="H210" s="27">
        <f>ROUND(SUMIF(Определители!I6:I24,"=2",'Текущие цены с учетом расхода'!D6:D24),2)</f>
        <v>3268.69</v>
      </c>
      <c r="I210" s="27">
        <f>ROUND(SUMIF(Определители!I6:I24,"=2",'Текущие цены с учетом расхода'!E6:E24),2)</f>
        <v>1909.16</v>
      </c>
      <c r="J210" s="31">
        <f>ROUND(SUMIF(Определители!I6:I24,"=2",'Текущие цены с учетом расхода'!I6:I24),8)</f>
        <v>286.677975</v>
      </c>
      <c r="K210" s="31">
        <f>ROUND(SUMIF(Определители!I6:I24,"=2",'Текущие цены с учетом расхода'!K6:K24),8)</f>
        <v>6.369375</v>
      </c>
      <c r="L210" s="27">
        <f>ROUND(SUMIF(Определители!I6:I24,"=2",'Текущие цены с учетом расхода'!F6:F24),2)</f>
        <v>57181.62</v>
      </c>
      <c r="N210" s="32" t="s">
        <v>310</v>
      </c>
    </row>
    <row r="211" spans="1:14" ht="10.5">
      <c r="A211" s="28">
        <v>23</v>
      </c>
      <c r="B211" s="7" t="s">
        <v>82</v>
      </c>
      <c r="C211" s="32" t="s">
        <v>287</v>
      </c>
      <c r="D211" s="35">
        <v>0</v>
      </c>
      <c r="F211" s="27"/>
      <c r="G211" s="27"/>
      <c r="H211" s="27"/>
      <c r="I211" s="27"/>
      <c r="J211" s="31"/>
      <c r="K211" s="31"/>
      <c r="L211" s="27"/>
      <c r="N211" s="32" t="s">
        <v>311</v>
      </c>
    </row>
    <row r="212" spans="1:14" ht="10.5">
      <c r="A212" s="28">
        <v>24</v>
      </c>
      <c r="B212" s="7" t="s">
        <v>91</v>
      </c>
      <c r="C212" s="32" t="s">
        <v>287</v>
      </c>
      <c r="D212" s="35">
        <v>0</v>
      </c>
      <c r="F212" s="27">
        <f>ROUND(СУММЕСЛИ2(Определители!I6:I24,"2",Определители!G6:G24,"1",'Текущие цены с учетом расхода'!B6:B24),2)</f>
        <v>0</v>
      </c>
      <c r="G212" s="27"/>
      <c r="H212" s="27"/>
      <c r="I212" s="27"/>
      <c r="J212" s="31"/>
      <c r="K212" s="31"/>
      <c r="L212" s="27"/>
      <c r="N212" s="32" t="s">
        <v>312</v>
      </c>
    </row>
    <row r="213" spans="1:14" ht="10.5">
      <c r="A213" s="28">
        <v>25</v>
      </c>
      <c r="B213" s="7" t="s">
        <v>86</v>
      </c>
      <c r="C213" s="32" t="s">
        <v>287</v>
      </c>
      <c r="D213" s="35">
        <v>0</v>
      </c>
      <c r="F213" s="27">
        <f>ROUND(SUMIF(Определители!I6:I24,"=2",'Текущие цены с учетом расхода'!H6:H24),2)</f>
        <v>0</v>
      </c>
      <c r="G213" s="27"/>
      <c r="H213" s="27"/>
      <c r="I213" s="27"/>
      <c r="J213" s="31"/>
      <c r="K213" s="31"/>
      <c r="L213" s="27"/>
      <c r="N213" s="32" t="s">
        <v>313</v>
      </c>
    </row>
    <row r="214" spans="1:14" ht="10.5">
      <c r="A214" s="28">
        <v>26</v>
      </c>
      <c r="B214" s="7" t="s">
        <v>87</v>
      </c>
      <c r="C214" s="32" t="s">
        <v>287</v>
      </c>
      <c r="D214" s="35">
        <v>0</v>
      </c>
      <c r="F214" s="27">
        <f>ROUND(SUMIF(Определители!I6:I24,"=2",'Текущие цены с учетом расхода'!N6:N24),2)</f>
        <v>73581.25</v>
      </c>
      <c r="G214" s="27"/>
      <c r="H214" s="27"/>
      <c r="I214" s="27"/>
      <c r="J214" s="31"/>
      <c r="K214" s="31"/>
      <c r="L214" s="27"/>
      <c r="N214" s="32" t="s">
        <v>314</v>
      </c>
    </row>
    <row r="215" spans="1:14" ht="10.5">
      <c r="A215" s="28">
        <v>27</v>
      </c>
      <c r="B215" s="7" t="s">
        <v>88</v>
      </c>
      <c r="C215" s="32" t="s">
        <v>287</v>
      </c>
      <c r="D215" s="35">
        <v>0</v>
      </c>
      <c r="F215" s="27">
        <f>ROUND(SUMIF(Определители!I6:I24,"=2",'Текущие цены с учетом расхода'!O6:O24),2)</f>
        <v>43192.83</v>
      </c>
      <c r="G215" s="27"/>
      <c r="H215" s="27"/>
      <c r="I215" s="27"/>
      <c r="J215" s="31"/>
      <c r="K215" s="31"/>
      <c r="L215" s="27"/>
      <c r="N215" s="32" t="s">
        <v>315</v>
      </c>
    </row>
    <row r="216" spans="1:14" ht="10.5">
      <c r="A216" s="28">
        <v>28</v>
      </c>
      <c r="B216" s="7" t="s">
        <v>92</v>
      </c>
      <c r="C216" s="32" t="s">
        <v>288</v>
      </c>
      <c r="D216" s="35">
        <v>0</v>
      </c>
      <c r="F216" s="27">
        <f>ROUND((F210+F214+F215),2)</f>
        <v>242843.75</v>
      </c>
      <c r="G216" s="27"/>
      <c r="H216" s="27"/>
      <c r="I216" s="27"/>
      <c r="J216" s="31"/>
      <c r="K216" s="31"/>
      <c r="L216" s="27"/>
      <c r="N216" s="32" t="s">
        <v>316</v>
      </c>
    </row>
    <row r="217" spans="1:14" ht="10.5">
      <c r="A217" s="28">
        <v>29</v>
      </c>
      <c r="B217" s="7" t="s">
        <v>93</v>
      </c>
      <c r="C217" s="32" t="s">
        <v>287</v>
      </c>
      <c r="D217" s="35">
        <v>0</v>
      </c>
      <c r="F217" s="27">
        <f>ROUND(SUMIF(Определители!I6:I24,"=3",'Текущие цены с учетом расхода'!B6:B24),2)</f>
        <v>0</v>
      </c>
      <c r="G217" s="27">
        <f>ROUND(SUMIF(Определители!I6:I24,"=3",'Текущие цены с учетом расхода'!C6:C24),2)</f>
        <v>0</v>
      </c>
      <c r="H217" s="27">
        <f>ROUND(SUMIF(Определители!I6:I24,"=3",'Текущие цены с учетом расхода'!D6:D24),2)</f>
        <v>0</v>
      </c>
      <c r="I217" s="27">
        <f>ROUND(SUMIF(Определители!I6:I24,"=3",'Текущие цены с учетом расхода'!E6:E24),2)</f>
        <v>0</v>
      </c>
      <c r="J217" s="31">
        <f>ROUND(SUMIF(Определители!I6:I24,"=3",'Текущие цены с учетом расхода'!I6:I24),8)</f>
        <v>0</v>
      </c>
      <c r="K217" s="31">
        <f>ROUND(SUMIF(Определители!I6:I24,"=3",'Текущие цены с учетом расхода'!K6:K24),8)</f>
        <v>0</v>
      </c>
      <c r="L217" s="27">
        <f>ROUND(SUMIF(Определители!I6:I24,"=3",'Текущие цены с учетом расхода'!F6:F24),2)</f>
        <v>0</v>
      </c>
      <c r="N217" s="32" t="s">
        <v>317</v>
      </c>
    </row>
    <row r="218" spans="1:14" ht="10.5">
      <c r="A218" s="28">
        <v>30</v>
      </c>
      <c r="B218" s="7" t="s">
        <v>86</v>
      </c>
      <c r="C218" s="32" t="s">
        <v>287</v>
      </c>
      <c r="D218" s="35">
        <v>0</v>
      </c>
      <c r="F218" s="27">
        <f>ROUND(SUMIF(Определители!I6:I24,"=3",'Текущие цены с учетом расхода'!H6:H24),2)</f>
        <v>0</v>
      </c>
      <c r="G218" s="27"/>
      <c r="H218" s="27"/>
      <c r="I218" s="27"/>
      <c r="J218" s="31"/>
      <c r="K218" s="31"/>
      <c r="L218" s="27"/>
      <c r="N218" s="32" t="s">
        <v>318</v>
      </c>
    </row>
    <row r="219" spans="1:14" ht="10.5">
      <c r="A219" s="28">
        <v>31</v>
      </c>
      <c r="B219" s="7" t="s">
        <v>87</v>
      </c>
      <c r="C219" s="32" t="s">
        <v>287</v>
      </c>
      <c r="D219" s="35">
        <v>0</v>
      </c>
      <c r="F219" s="27">
        <f>ROUND(SUMIF(Определители!I6:I24,"=3",'Текущие цены с учетом расхода'!N6:N24),2)</f>
        <v>0</v>
      </c>
      <c r="G219" s="27"/>
      <c r="H219" s="27"/>
      <c r="I219" s="27"/>
      <c r="J219" s="31"/>
      <c r="K219" s="31"/>
      <c r="L219" s="27"/>
      <c r="N219" s="32" t="s">
        <v>319</v>
      </c>
    </row>
    <row r="220" spans="1:14" ht="10.5">
      <c r="A220" s="28">
        <v>32</v>
      </c>
      <c r="B220" s="7" t="s">
        <v>88</v>
      </c>
      <c r="C220" s="32" t="s">
        <v>287</v>
      </c>
      <c r="D220" s="35">
        <v>0</v>
      </c>
      <c r="F220" s="27">
        <f>ROUND(SUMIF(Определители!I6:I24,"=3",'Текущие цены с учетом расхода'!O6:O24),2)</f>
        <v>0</v>
      </c>
      <c r="G220" s="27"/>
      <c r="H220" s="27"/>
      <c r="I220" s="27"/>
      <c r="J220" s="31"/>
      <c r="K220" s="31"/>
      <c r="L220" s="27"/>
      <c r="N220" s="32" t="s">
        <v>320</v>
      </c>
    </row>
    <row r="221" spans="1:14" ht="10.5">
      <c r="A221" s="28">
        <v>33</v>
      </c>
      <c r="B221" s="7" t="s">
        <v>94</v>
      </c>
      <c r="C221" s="32" t="s">
        <v>288</v>
      </c>
      <c r="D221" s="35">
        <v>0</v>
      </c>
      <c r="F221" s="27">
        <f>ROUND((F217+F219+F220),2)</f>
        <v>0</v>
      </c>
      <c r="G221" s="27"/>
      <c r="H221" s="27"/>
      <c r="I221" s="27"/>
      <c r="J221" s="31"/>
      <c r="K221" s="31"/>
      <c r="L221" s="27"/>
      <c r="N221" s="32" t="s">
        <v>321</v>
      </c>
    </row>
    <row r="222" spans="1:14" ht="10.5">
      <c r="A222" s="28">
        <v>34</v>
      </c>
      <c r="B222" s="7" t="s">
        <v>95</v>
      </c>
      <c r="C222" s="32" t="s">
        <v>287</v>
      </c>
      <c r="D222" s="35">
        <v>0</v>
      </c>
      <c r="F222" s="27">
        <f>ROUND(SUMIF(Определители!I6:I24,"=4",'Текущие цены с учетом расхода'!B6:B24),2)</f>
        <v>0</v>
      </c>
      <c r="G222" s="27">
        <f>ROUND(SUMIF(Определители!I6:I24,"=4",'Текущие цены с учетом расхода'!C6:C24),2)</f>
        <v>0</v>
      </c>
      <c r="H222" s="27">
        <f>ROUND(SUMIF(Определители!I6:I24,"=4",'Текущие цены с учетом расхода'!D6:D24),2)</f>
        <v>0</v>
      </c>
      <c r="I222" s="27">
        <f>ROUND(SUMIF(Определители!I6:I24,"=4",'Текущие цены с учетом расхода'!E6:E24),2)</f>
        <v>0</v>
      </c>
      <c r="J222" s="31">
        <f>ROUND(SUMIF(Определители!I6:I24,"=4",'Текущие цены с учетом расхода'!I6:I24),8)</f>
        <v>0</v>
      </c>
      <c r="K222" s="31">
        <f>ROUND(SUMIF(Определители!I6:I24,"=4",'Текущие цены с учетом расхода'!K6:K24),8)</f>
        <v>0</v>
      </c>
      <c r="L222" s="27">
        <f>ROUND(SUMIF(Определители!I6:I24,"=4",'Текущие цены с учетом расхода'!F6:F24),2)</f>
        <v>0</v>
      </c>
      <c r="N222" s="32" t="s">
        <v>322</v>
      </c>
    </row>
    <row r="223" spans="1:14" ht="10.5">
      <c r="A223" s="28">
        <v>35</v>
      </c>
      <c r="B223" s="7" t="s">
        <v>82</v>
      </c>
      <c r="C223" s="32" t="s">
        <v>287</v>
      </c>
      <c r="D223" s="35">
        <v>0</v>
      </c>
      <c r="F223" s="27"/>
      <c r="G223" s="27"/>
      <c r="H223" s="27"/>
      <c r="I223" s="27"/>
      <c r="J223" s="31"/>
      <c r="K223" s="31"/>
      <c r="L223" s="27"/>
      <c r="N223" s="32" t="s">
        <v>323</v>
      </c>
    </row>
    <row r="224" spans="1:14" ht="10.5">
      <c r="A224" s="28">
        <v>36</v>
      </c>
      <c r="B224" s="7" t="s">
        <v>96</v>
      </c>
      <c r="C224" s="32" t="s">
        <v>287</v>
      </c>
      <c r="D224" s="35">
        <v>0</v>
      </c>
      <c r="F224" s="27">
        <f>ROUND(SUMIF(Определители!I6:I24,"=4",'Текущие цены с учетом расхода'!AJ6:AJ24),2)</f>
        <v>0</v>
      </c>
      <c r="G224" s="27">
        <f>ROUND(SUMIF(Определители!I6:I24,"=4",'Текущие цены с учетом расхода'!AI6:AI24),2)</f>
        <v>0</v>
      </c>
      <c r="H224" s="27">
        <f>ROUND(SUMIF(Определители!I6:I24,"=4",'Текущие цены с учетом расхода'!AH6:AH24),2)</f>
        <v>0</v>
      </c>
      <c r="I224" s="27">
        <f>ROUND(SUMIF(Определители!I6:I24,"=4",'Текущие цены с учетом расхода'!V6:V24),2)</f>
        <v>0</v>
      </c>
      <c r="J224" s="31"/>
      <c r="K224" s="31"/>
      <c r="L224" s="27"/>
      <c r="N224" s="32" t="s">
        <v>324</v>
      </c>
    </row>
    <row r="225" spans="1:14" ht="10.5">
      <c r="A225" s="28">
        <v>37</v>
      </c>
      <c r="B225" s="7" t="s">
        <v>86</v>
      </c>
      <c r="C225" s="32" t="s">
        <v>287</v>
      </c>
      <c r="D225" s="35">
        <v>0</v>
      </c>
      <c r="F225" s="27">
        <f>ROUND(SUMIF(Определители!I6:I24,"=4",'Текущие цены с учетом расхода'!H6:H24),2)</f>
        <v>0</v>
      </c>
      <c r="G225" s="27"/>
      <c r="H225" s="27"/>
      <c r="I225" s="27"/>
      <c r="J225" s="31"/>
      <c r="K225" s="31"/>
      <c r="L225" s="27"/>
      <c r="N225" s="32" t="s">
        <v>325</v>
      </c>
    </row>
    <row r="226" spans="1:14" ht="10.5">
      <c r="A226" s="28">
        <v>38</v>
      </c>
      <c r="B226" s="7" t="s">
        <v>87</v>
      </c>
      <c r="C226" s="32" t="s">
        <v>287</v>
      </c>
      <c r="D226" s="35">
        <v>0</v>
      </c>
      <c r="F226" s="27">
        <f>ROUND(SUMIF(Определители!I6:I24,"=4",'Текущие цены с учетом расхода'!N6:N24),2)</f>
        <v>0</v>
      </c>
      <c r="G226" s="27"/>
      <c r="H226" s="27"/>
      <c r="I226" s="27"/>
      <c r="J226" s="31"/>
      <c r="K226" s="31"/>
      <c r="L226" s="27"/>
      <c r="N226" s="32" t="s">
        <v>326</v>
      </c>
    </row>
    <row r="227" spans="1:14" ht="10.5">
      <c r="A227" s="28">
        <v>39</v>
      </c>
      <c r="B227" s="7" t="s">
        <v>88</v>
      </c>
      <c r="C227" s="32" t="s">
        <v>287</v>
      </c>
      <c r="D227" s="35">
        <v>0</v>
      </c>
      <c r="F227" s="27">
        <f>ROUND(SUMIF(Определители!I6:I24,"=4",'Текущие цены с учетом расхода'!O6:O24),2)</f>
        <v>0</v>
      </c>
      <c r="G227" s="27"/>
      <c r="H227" s="27"/>
      <c r="I227" s="27"/>
      <c r="J227" s="31"/>
      <c r="K227" s="31"/>
      <c r="L227" s="27"/>
      <c r="N227" s="32" t="s">
        <v>327</v>
      </c>
    </row>
    <row r="228" spans="1:14" ht="10.5">
      <c r="A228" s="28">
        <v>40</v>
      </c>
      <c r="B228" s="7" t="s">
        <v>79</v>
      </c>
      <c r="C228" s="32" t="s">
        <v>287</v>
      </c>
      <c r="D228" s="35">
        <v>0</v>
      </c>
      <c r="F228" s="27">
        <f>ROUND(СУММПРОИЗВЕСЛИ(1,Определители!I6:I24," ",'Текущие цены с учетом расхода'!M6:M24,Начисления!I6:I24,0),2)</f>
        <v>0</v>
      </c>
      <c r="G228" s="27"/>
      <c r="H228" s="27"/>
      <c r="I228" s="27"/>
      <c r="J228" s="31"/>
      <c r="K228" s="31"/>
      <c r="L228" s="27"/>
      <c r="N228" s="32" t="s">
        <v>328</v>
      </c>
    </row>
    <row r="229" spans="1:14" ht="10.5">
      <c r="A229" s="28">
        <v>41</v>
      </c>
      <c r="B229" s="7" t="s">
        <v>97</v>
      </c>
      <c r="C229" s="32" t="s">
        <v>288</v>
      </c>
      <c r="D229" s="35">
        <v>0</v>
      </c>
      <c r="F229" s="27">
        <f>ROUND((F222+F226+F227),2)</f>
        <v>0</v>
      </c>
      <c r="G229" s="27"/>
      <c r="H229" s="27"/>
      <c r="I229" s="27"/>
      <c r="J229" s="31"/>
      <c r="K229" s="31"/>
      <c r="L229" s="27"/>
      <c r="N229" s="32" t="s">
        <v>329</v>
      </c>
    </row>
    <row r="230" spans="1:14" ht="10.5">
      <c r="A230" s="28">
        <v>42</v>
      </c>
      <c r="B230" s="7" t="s">
        <v>98</v>
      </c>
      <c r="C230" s="32" t="s">
        <v>287</v>
      </c>
      <c r="D230" s="35">
        <v>0</v>
      </c>
      <c r="F230" s="27">
        <f>ROUND(SUMIF(Определители!I6:I24,"=5",'Текущие цены с учетом расхода'!B6:B24),2)</f>
        <v>0</v>
      </c>
      <c r="G230" s="27">
        <f>ROUND(SUMIF(Определители!I6:I24,"=5",'Текущие цены с учетом расхода'!C6:C24),2)</f>
        <v>0</v>
      </c>
      <c r="H230" s="27">
        <f>ROUND(SUMIF(Определители!I6:I24,"=5",'Текущие цены с учетом расхода'!D6:D24),2)</f>
        <v>0</v>
      </c>
      <c r="I230" s="27">
        <f>ROUND(SUMIF(Определители!I6:I24,"=5",'Текущие цены с учетом расхода'!E6:E24),2)</f>
        <v>0</v>
      </c>
      <c r="J230" s="31">
        <f>ROUND(SUMIF(Определители!I6:I24,"=5",'Текущие цены с учетом расхода'!I6:I24),8)</f>
        <v>0</v>
      </c>
      <c r="K230" s="31">
        <f>ROUND(SUMIF(Определители!I6:I24,"=5",'Текущие цены с учетом расхода'!K6:K24),8)</f>
        <v>0</v>
      </c>
      <c r="L230" s="27">
        <f>ROUND(SUMIF(Определители!I6:I24,"=5",'Текущие цены с учетом расхода'!F6:F24),2)</f>
        <v>0</v>
      </c>
      <c r="N230" s="32" t="s">
        <v>330</v>
      </c>
    </row>
    <row r="231" spans="1:14" ht="10.5">
      <c r="A231" s="28">
        <v>43</v>
      </c>
      <c r="B231" s="7" t="s">
        <v>86</v>
      </c>
      <c r="C231" s="32" t="s">
        <v>287</v>
      </c>
      <c r="D231" s="35">
        <v>0</v>
      </c>
      <c r="F231" s="27">
        <f>ROUND(SUMIF(Определители!I6:I24,"=5",'Текущие цены с учетом расхода'!H6:H24),2)</f>
        <v>0</v>
      </c>
      <c r="G231" s="27"/>
      <c r="H231" s="27"/>
      <c r="I231" s="27"/>
      <c r="J231" s="31"/>
      <c r="K231" s="31"/>
      <c r="L231" s="27"/>
      <c r="N231" s="32" t="s">
        <v>331</v>
      </c>
    </row>
    <row r="232" spans="1:14" ht="10.5">
      <c r="A232" s="28">
        <v>44</v>
      </c>
      <c r="B232" s="7" t="s">
        <v>87</v>
      </c>
      <c r="C232" s="32" t="s">
        <v>287</v>
      </c>
      <c r="D232" s="35">
        <v>0</v>
      </c>
      <c r="F232" s="27">
        <f>ROUND(SUMIF(Определители!I6:I24,"=5",'Текущие цены с учетом расхода'!N6:N24),2)</f>
        <v>0</v>
      </c>
      <c r="G232" s="27"/>
      <c r="H232" s="27"/>
      <c r="I232" s="27"/>
      <c r="J232" s="31"/>
      <c r="K232" s="31"/>
      <c r="L232" s="27"/>
      <c r="N232" s="32" t="s">
        <v>332</v>
      </c>
    </row>
    <row r="233" spans="1:14" ht="10.5">
      <c r="A233" s="28">
        <v>45</v>
      </c>
      <c r="B233" s="7" t="s">
        <v>88</v>
      </c>
      <c r="C233" s="32" t="s">
        <v>287</v>
      </c>
      <c r="D233" s="35">
        <v>0</v>
      </c>
      <c r="F233" s="27">
        <f>ROUND(SUMIF(Определители!I6:I24,"=5",'Текущие цены с учетом расхода'!O6:O24),2)</f>
        <v>0</v>
      </c>
      <c r="G233" s="27"/>
      <c r="H233" s="27"/>
      <c r="I233" s="27"/>
      <c r="J233" s="31"/>
      <c r="K233" s="31"/>
      <c r="L233" s="27"/>
      <c r="N233" s="32" t="s">
        <v>333</v>
      </c>
    </row>
    <row r="234" spans="1:14" ht="10.5">
      <c r="A234" s="28">
        <v>46</v>
      </c>
      <c r="B234" s="7" t="s">
        <v>99</v>
      </c>
      <c r="C234" s="32" t="s">
        <v>288</v>
      </c>
      <c r="D234" s="35">
        <v>0</v>
      </c>
      <c r="F234" s="27">
        <f>ROUND((F230+F232+F233),2)</f>
        <v>0</v>
      </c>
      <c r="G234" s="27"/>
      <c r="H234" s="27"/>
      <c r="I234" s="27"/>
      <c r="J234" s="31"/>
      <c r="K234" s="31"/>
      <c r="L234" s="27"/>
      <c r="N234" s="32" t="s">
        <v>334</v>
      </c>
    </row>
    <row r="235" spans="1:14" ht="10.5">
      <c r="A235" s="28">
        <v>47</v>
      </c>
      <c r="B235" s="7" t="s">
        <v>100</v>
      </c>
      <c r="C235" s="32" t="s">
        <v>287</v>
      </c>
      <c r="D235" s="35">
        <v>0</v>
      </c>
      <c r="F235" s="27">
        <f>ROUND(SUMIF(Определители!I6:I24,"=6",'Текущие цены с учетом расхода'!B6:B24),2)</f>
        <v>0</v>
      </c>
      <c r="G235" s="27">
        <f>ROUND(SUMIF(Определители!I6:I24,"=6",'Текущие цены с учетом расхода'!C6:C24),2)</f>
        <v>0</v>
      </c>
      <c r="H235" s="27">
        <f>ROUND(SUMIF(Определители!I6:I24,"=6",'Текущие цены с учетом расхода'!D6:D24),2)</f>
        <v>0</v>
      </c>
      <c r="I235" s="27">
        <f>ROUND(SUMIF(Определители!I6:I24,"=6",'Текущие цены с учетом расхода'!E6:E24),2)</f>
        <v>0</v>
      </c>
      <c r="J235" s="31">
        <f>ROUND(SUMIF(Определители!I6:I24,"=6",'Текущие цены с учетом расхода'!I6:I24),8)</f>
        <v>0</v>
      </c>
      <c r="K235" s="31">
        <f>ROUND(SUMIF(Определители!I6:I24,"=6",'Текущие цены с учетом расхода'!K6:K24),8)</f>
        <v>0</v>
      </c>
      <c r="L235" s="27">
        <f>ROUND(SUMIF(Определители!I6:I24,"=6",'Текущие цены с учетом расхода'!F6:F24),2)</f>
        <v>0</v>
      </c>
      <c r="N235" s="32" t="s">
        <v>335</v>
      </c>
    </row>
    <row r="236" spans="1:14" ht="10.5">
      <c r="A236" s="28">
        <v>48</v>
      </c>
      <c r="B236" s="7" t="s">
        <v>86</v>
      </c>
      <c r="C236" s="32" t="s">
        <v>287</v>
      </c>
      <c r="D236" s="35">
        <v>0</v>
      </c>
      <c r="F236" s="27">
        <f>ROUND(SUMIF(Определители!I6:I24,"=6",'Текущие цены с учетом расхода'!H6:H24),2)</f>
        <v>0</v>
      </c>
      <c r="G236" s="27"/>
      <c r="H236" s="27"/>
      <c r="I236" s="27"/>
      <c r="J236" s="31"/>
      <c r="K236" s="31"/>
      <c r="L236" s="27"/>
      <c r="N236" s="32" t="s">
        <v>336</v>
      </c>
    </row>
    <row r="237" spans="1:14" ht="10.5">
      <c r="A237" s="28">
        <v>49</v>
      </c>
      <c r="B237" s="7" t="s">
        <v>87</v>
      </c>
      <c r="C237" s="32" t="s">
        <v>287</v>
      </c>
      <c r="D237" s="35">
        <v>0</v>
      </c>
      <c r="F237" s="27">
        <f>ROUND(SUMIF(Определители!I6:I24,"=6",'Текущие цены с учетом расхода'!N6:N24),2)</f>
        <v>0</v>
      </c>
      <c r="G237" s="27"/>
      <c r="H237" s="27"/>
      <c r="I237" s="27"/>
      <c r="J237" s="31"/>
      <c r="K237" s="31"/>
      <c r="L237" s="27"/>
      <c r="N237" s="32" t="s">
        <v>337</v>
      </c>
    </row>
    <row r="238" spans="1:14" ht="10.5">
      <c r="A238" s="28">
        <v>50</v>
      </c>
      <c r="B238" s="7" t="s">
        <v>88</v>
      </c>
      <c r="C238" s="32" t="s">
        <v>287</v>
      </c>
      <c r="D238" s="35">
        <v>0</v>
      </c>
      <c r="F238" s="27">
        <f>ROUND(SUMIF(Определители!I6:I24,"=6",'Текущие цены с учетом расхода'!O6:O24),2)</f>
        <v>0</v>
      </c>
      <c r="G238" s="27"/>
      <c r="H238" s="27"/>
      <c r="I238" s="27"/>
      <c r="J238" s="31"/>
      <c r="K238" s="31"/>
      <c r="L238" s="27"/>
      <c r="N238" s="32" t="s">
        <v>338</v>
      </c>
    </row>
    <row r="239" spans="1:14" ht="10.5">
      <c r="A239" s="28">
        <v>51</v>
      </c>
      <c r="B239" s="7" t="s">
        <v>101</v>
      </c>
      <c r="C239" s="32" t="s">
        <v>288</v>
      </c>
      <c r="D239" s="35">
        <v>0</v>
      </c>
      <c r="F239" s="27">
        <f>ROUND((F235+F237+F238),2)</f>
        <v>0</v>
      </c>
      <c r="G239" s="27"/>
      <c r="H239" s="27"/>
      <c r="I239" s="27"/>
      <c r="J239" s="31"/>
      <c r="K239" s="31"/>
      <c r="L239" s="27"/>
      <c r="N239" s="32" t="s">
        <v>339</v>
      </c>
    </row>
    <row r="240" spans="1:14" ht="10.5">
      <c r="A240" s="28">
        <v>52</v>
      </c>
      <c r="B240" s="7" t="s">
        <v>102</v>
      </c>
      <c r="C240" s="32" t="s">
        <v>287</v>
      </c>
      <c r="D240" s="35">
        <v>0</v>
      </c>
      <c r="F240" s="27">
        <f>ROUND(SUMIF(Определители!I6:I24,"=7",'Текущие цены с учетом расхода'!B6:B24),2)</f>
        <v>0</v>
      </c>
      <c r="G240" s="27">
        <f>ROUND(SUMIF(Определители!I6:I24,"=7",'Текущие цены с учетом расхода'!C6:C24),2)</f>
        <v>0</v>
      </c>
      <c r="H240" s="27">
        <f>ROUND(SUMIF(Определители!I6:I24,"=7",'Текущие цены с учетом расхода'!D6:D24),2)</f>
        <v>0</v>
      </c>
      <c r="I240" s="27">
        <f>ROUND(SUMIF(Определители!I6:I24,"=7",'Текущие цены с учетом расхода'!E6:E24),2)</f>
        <v>0</v>
      </c>
      <c r="J240" s="31">
        <f>ROUND(SUMIF(Определители!I6:I24,"=7",'Текущие цены с учетом расхода'!I6:I24),8)</f>
        <v>0</v>
      </c>
      <c r="K240" s="31">
        <f>ROUND(SUMIF(Определители!I6:I24,"=7",'Текущие цены с учетом расхода'!K6:K24),8)</f>
        <v>0</v>
      </c>
      <c r="L240" s="27">
        <f>ROUND(SUMIF(Определители!I6:I24,"=7",'Текущие цены с учетом расхода'!F6:F24),2)</f>
        <v>0</v>
      </c>
      <c r="N240" s="32" t="s">
        <v>340</v>
      </c>
    </row>
    <row r="241" spans="1:14" ht="10.5">
      <c r="A241" s="28">
        <v>53</v>
      </c>
      <c r="B241" s="7" t="s">
        <v>82</v>
      </c>
      <c r="C241" s="32" t="s">
        <v>287</v>
      </c>
      <c r="D241" s="35">
        <v>0</v>
      </c>
      <c r="F241" s="27"/>
      <c r="G241" s="27"/>
      <c r="H241" s="27"/>
      <c r="I241" s="27"/>
      <c r="J241" s="31"/>
      <c r="K241" s="31"/>
      <c r="L241" s="27"/>
      <c r="N241" s="32" t="s">
        <v>341</v>
      </c>
    </row>
    <row r="242" spans="1:14" ht="10.5">
      <c r="A242" s="28">
        <v>54</v>
      </c>
      <c r="B242" s="7" t="s">
        <v>91</v>
      </c>
      <c r="C242" s="32" t="s">
        <v>287</v>
      </c>
      <c r="D242" s="35">
        <v>0</v>
      </c>
      <c r="F242" s="27">
        <f>ROUND(СУММЕСЛИ2(Определители!I6:I24,"2",Определители!G6:G24,"1",'Текущие цены с учетом расхода'!B6:B24),2)</f>
        <v>0</v>
      </c>
      <c r="G242" s="27"/>
      <c r="H242" s="27"/>
      <c r="I242" s="27"/>
      <c r="J242" s="31"/>
      <c r="K242" s="31"/>
      <c r="L242" s="27"/>
      <c r="N242" s="32" t="s">
        <v>342</v>
      </c>
    </row>
    <row r="243" spans="1:14" ht="10.5">
      <c r="A243" s="28">
        <v>55</v>
      </c>
      <c r="B243" s="7" t="s">
        <v>86</v>
      </c>
      <c r="C243" s="32" t="s">
        <v>287</v>
      </c>
      <c r="D243" s="35">
        <v>0</v>
      </c>
      <c r="F243" s="27">
        <f>ROUND(SUMIF(Определители!I6:I24,"=7",'Текущие цены с учетом расхода'!H6:H24),2)</f>
        <v>0</v>
      </c>
      <c r="G243" s="27"/>
      <c r="H243" s="27"/>
      <c r="I243" s="27"/>
      <c r="J243" s="31"/>
      <c r="K243" s="31"/>
      <c r="L243" s="27"/>
      <c r="N243" s="32" t="s">
        <v>343</v>
      </c>
    </row>
    <row r="244" spans="1:14" ht="10.5">
      <c r="A244" s="28">
        <v>56</v>
      </c>
      <c r="B244" s="7" t="s">
        <v>87</v>
      </c>
      <c r="C244" s="32" t="s">
        <v>287</v>
      </c>
      <c r="D244" s="35">
        <v>0</v>
      </c>
      <c r="F244" s="27">
        <f>ROUND(SUMIF(Определители!I6:I24,"=7",'Текущие цены с учетом расхода'!N6:N24),2)</f>
        <v>0</v>
      </c>
      <c r="G244" s="27"/>
      <c r="H244" s="27"/>
      <c r="I244" s="27"/>
      <c r="J244" s="31"/>
      <c r="K244" s="31"/>
      <c r="L244" s="27"/>
      <c r="N244" s="32" t="s">
        <v>344</v>
      </c>
    </row>
    <row r="245" spans="1:14" ht="10.5">
      <c r="A245" s="28">
        <v>57</v>
      </c>
      <c r="B245" s="7" t="s">
        <v>88</v>
      </c>
      <c r="C245" s="32" t="s">
        <v>287</v>
      </c>
      <c r="D245" s="35">
        <v>0</v>
      </c>
      <c r="F245" s="27">
        <f>ROUND(SUMIF(Определители!I6:I24,"=7",'Текущие цены с учетом расхода'!O6:O24),2)</f>
        <v>0</v>
      </c>
      <c r="G245" s="27"/>
      <c r="H245" s="27"/>
      <c r="I245" s="27"/>
      <c r="J245" s="31"/>
      <c r="K245" s="31"/>
      <c r="L245" s="27"/>
      <c r="N245" s="32" t="s">
        <v>345</v>
      </c>
    </row>
    <row r="246" spans="1:14" ht="10.5">
      <c r="A246" s="28">
        <v>58</v>
      </c>
      <c r="B246" s="7" t="s">
        <v>103</v>
      </c>
      <c r="C246" s="32" t="s">
        <v>288</v>
      </c>
      <c r="D246" s="35">
        <v>0</v>
      </c>
      <c r="F246" s="27">
        <f>ROUND((F240+F244+F245),2)</f>
        <v>0</v>
      </c>
      <c r="G246" s="27"/>
      <c r="H246" s="27"/>
      <c r="I246" s="27"/>
      <c r="J246" s="31"/>
      <c r="K246" s="31"/>
      <c r="L246" s="27"/>
      <c r="N246" s="32" t="s">
        <v>346</v>
      </c>
    </row>
    <row r="247" spans="1:14" ht="10.5">
      <c r="A247" s="28">
        <v>59</v>
      </c>
      <c r="B247" s="7" t="s">
        <v>104</v>
      </c>
      <c r="C247" s="32" t="s">
        <v>287</v>
      </c>
      <c r="D247" s="35">
        <v>0</v>
      </c>
      <c r="F247" s="27">
        <f>ROUND(SUMIF(Определители!I6:I24,"=;",'Текущие цены с учетом расхода'!B6:B24),2)</f>
        <v>0</v>
      </c>
      <c r="G247" s="27">
        <f>ROUND(SUMIF(Определители!I6:I24,"=;",'Текущие цены с учетом расхода'!C6:C24),2)</f>
        <v>0</v>
      </c>
      <c r="H247" s="27">
        <f>ROUND(SUMIF(Определители!I6:I24,"=;",'Текущие цены с учетом расхода'!D6:D24),2)</f>
        <v>0</v>
      </c>
      <c r="I247" s="27">
        <f>ROUND(SUMIF(Определители!I6:I24,"=;",'Текущие цены с учетом расхода'!E6:E24),2)</f>
        <v>0</v>
      </c>
      <c r="J247" s="31">
        <f>ROUND(SUMIF(Определители!I6:I24,"=;",'Текущие цены с учетом расхода'!I6:I24),8)</f>
        <v>0</v>
      </c>
      <c r="K247" s="31">
        <f>ROUND(SUMIF(Определители!I6:I24,"=;",'Текущие цены с учетом расхода'!K6:K24),8)</f>
        <v>0</v>
      </c>
      <c r="L247" s="27">
        <f>ROUND(SUMIF(Определители!I6:I24,"=;",'Текущие цены с учетом расхода'!F6:F24),2)</f>
        <v>0</v>
      </c>
      <c r="N247" s="32" t="s">
        <v>347</v>
      </c>
    </row>
    <row r="248" spans="1:14" ht="10.5">
      <c r="A248" s="28">
        <v>60</v>
      </c>
      <c r="B248" s="7" t="s">
        <v>105</v>
      </c>
      <c r="C248" s="32" t="s">
        <v>287</v>
      </c>
      <c r="D248" s="35">
        <v>0</v>
      </c>
      <c r="F248" s="27">
        <f>ROUND(SUMIF(Определители!I6:I24,"=;",'Текущие цены с учетом расхода'!AF6:AF24),2)</f>
        <v>0</v>
      </c>
      <c r="G248" s="27"/>
      <c r="H248" s="27"/>
      <c r="I248" s="27"/>
      <c r="J248" s="31"/>
      <c r="K248" s="31"/>
      <c r="L248" s="27"/>
      <c r="N248" s="32" t="s">
        <v>348</v>
      </c>
    </row>
    <row r="249" spans="1:14" ht="10.5">
      <c r="A249" s="28">
        <v>61</v>
      </c>
      <c r="B249" s="7" t="s">
        <v>106</v>
      </c>
      <c r="C249" s="32" t="s">
        <v>287</v>
      </c>
      <c r="D249" s="35">
        <v>0</v>
      </c>
      <c r="F249" s="27">
        <f>ROUND(SUMIF(Определители!I6:I24,"=;",'Текущие цены с учетом расхода'!AG6:AG24),2)</f>
        <v>0</v>
      </c>
      <c r="G249" s="27"/>
      <c r="H249" s="27"/>
      <c r="I249" s="27"/>
      <c r="J249" s="31"/>
      <c r="K249" s="31"/>
      <c r="L249" s="27"/>
      <c r="N249" s="32" t="s">
        <v>349</v>
      </c>
    </row>
    <row r="250" spans="1:14" ht="10.5">
      <c r="A250" s="28">
        <v>62</v>
      </c>
      <c r="B250" s="7" t="s">
        <v>87</v>
      </c>
      <c r="C250" s="32" t="s">
        <v>287</v>
      </c>
      <c r="D250" s="35">
        <v>0</v>
      </c>
      <c r="F250" s="27">
        <f>ROUND(SUMIF(Определители!I6:I24,"=;",'Текущие цены с учетом расхода'!N6:N24),2)</f>
        <v>0</v>
      </c>
      <c r="G250" s="27"/>
      <c r="H250" s="27"/>
      <c r="I250" s="27"/>
      <c r="J250" s="31"/>
      <c r="K250" s="31"/>
      <c r="L250" s="27"/>
      <c r="N250" s="32" t="s">
        <v>350</v>
      </c>
    </row>
    <row r="251" spans="1:14" ht="10.5">
      <c r="A251" s="28">
        <v>63</v>
      </c>
      <c r="B251" s="7" t="s">
        <v>88</v>
      </c>
      <c r="C251" s="32" t="s">
        <v>287</v>
      </c>
      <c r="D251" s="35">
        <v>0</v>
      </c>
      <c r="F251" s="27">
        <f>ROUND(SUMIF(Определители!I6:I24,"=;",'Текущие цены с учетом расхода'!O6:O24),2)</f>
        <v>0</v>
      </c>
      <c r="G251" s="27"/>
      <c r="H251" s="27"/>
      <c r="I251" s="27"/>
      <c r="J251" s="31"/>
      <c r="K251" s="31"/>
      <c r="L251" s="27"/>
      <c r="N251" s="32" t="s">
        <v>351</v>
      </c>
    </row>
    <row r="252" spans="1:14" ht="10.5">
      <c r="A252" s="28">
        <v>64</v>
      </c>
      <c r="B252" s="7" t="s">
        <v>107</v>
      </c>
      <c r="C252" s="32" t="s">
        <v>288</v>
      </c>
      <c r="D252" s="35">
        <v>0</v>
      </c>
      <c r="F252" s="27">
        <f>ROUND((F247+F250+F251),2)</f>
        <v>0</v>
      </c>
      <c r="G252" s="27"/>
      <c r="H252" s="27"/>
      <c r="I252" s="27"/>
      <c r="J252" s="31"/>
      <c r="K252" s="31"/>
      <c r="L252" s="27"/>
      <c r="N252" s="32" t="s">
        <v>352</v>
      </c>
    </row>
    <row r="253" spans="1:14" ht="10.5">
      <c r="A253" s="28">
        <v>65</v>
      </c>
      <c r="B253" s="7" t="s">
        <v>108</v>
      </c>
      <c r="C253" s="32" t="s">
        <v>287</v>
      </c>
      <c r="D253" s="35">
        <v>0</v>
      </c>
      <c r="F253" s="27">
        <f>ROUND(SUMIF(Определители!I6:I24,"=9",'Текущие цены с учетом расхода'!B6:B24),2)</f>
        <v>0</v>
      </c>
      <c r="G253" s="27">
        <f>ROUND(SUMIF(Определители!I6:I24,"=9",'Текущие цены с учетом расхода'!C6:C24),2)</f>
        <v>0</v>
      </c>
      <c r="H253" s="27">
        <f>ROUND(SUMIF(Определители!I6:I24,"=9",'Текущие цены с учетом расхода'!D6:D24),2)</f>
        <v>0</v>
      </c>
      <c r="I253" s="27">
        <f>ROUND(SUMIF(Определители!I6:I24,"=9",'Текущие цены с учетом расхода'!E6:E24),2)</f>
        <v>0</v>
      </c>
      <c r="J253" s="31">
        <f>ROUND(SUMIF(Определители!I6:I24,"=9",'Текущие цены с учетом расхода'!I6:I24),8)</f>
        <v>0</v>
      </c>
      <c r="K253" s="31">
        <f>ROUND(SUMIF(Определители!I6:I24,"=9",'Текущие цены с учетом расхода'!K6:K24),8)</f>
        <v>0</v>
      </c>
      <c r="L253" s="27">
        <f>ROUND(SUMIF(Определители!I6:I24,"=9",'Текущие цены с учетом расхода'!F6:F24),2)</f>
        <v>0</v>
      </c>
      <c r="N253" s="32" t="s">
        <v>353</v>
      </c>
    </row>
    <row r="254" spans="1:14" ht="10.5">
      <c r="A254" s="28">
        <v>66</v>
      </c>
      <c r="B254" s="7" t="s">
        <v>87</v>
      </c>
      <c r="C254" s="32" t="s">
        <v>287</v>
      </c>
      <c r="D254" s="35">
        <v>0</v>
      </c>
      <c r="F254" s="27">
        <f>ROUND(SUMIF(Определители!I6:I24,"=9",'Текущие цены с учетом расхода'!N6:N24),2)</f>
        <v>0</v>
      </c>
      <c r="G254" s="27"/>
      <c r="H254" s="27"/>
      <c r="I254" s="27"/>
      <c r="J254" s="31"/>
      <c r="K254" s="31"/>
      <c r="L254" s="27"/>
      <c r="N254" s="32" t="s">
        <v>354</v>
      </c>
    </row>
    <row r="255" spans="1:14" ht="10.5">
      <c r="A255" s="28">
        <v>67</v>
      </c>
      <c r="B255" s="7" t="s">
        <v>88</v>
      </c>
      <c r="C255" s="32" t="s">
        <v>287</v>
      </c>
      <c r="D255" s="35">
        <v>0</v>
      </c>
      <c r="F255" s="27">
        <f>ROUND(SUMIF(Определители!I6:I24,"=9",'Текущие цены с учетом расхода'!O6:O24),2)</f>
        <v>0</v>
      </c>
      <c r="G255" s="27"/>
      <c r="H255" s="27"/>
      <c r="I255" s="27"/>
      <c r="J255" s="31"/>
      <c r="K255" s="31"/>
      <c r="L255" s="27"/>
      <c r="N255" s="32" t="s">
        <v>355</v>
      </c>
    </row>
    <row r="256" spans="1:14" ht="10.5">
      <c r="A256" s="28">
        <v>68</v>
      </c>
      <c r="B256" s="7" t="s">
        <v>109</v>
      </c>
      <c r="C256" s="32" t="s">
        <v>288</v>
      </c>
      <c r="D256" s="35">
        <v>0</v>
      </c>
      <c r="F256" s="27">
        <f>ROUND((F253+F254+F255),2)</f>
        <v>0</v>
      </c>
      <c r="G256" s="27"/>
      <c r="H256" s="27"/>
      <c r="I256" s="27"/>
      <c r="J256" s="31"/>
      <c r="K256" s="31"/>
      <c r="L256" s="27"/>
      <c r="N256" s="32" t="s">
        <v>356</v>
      </c>
    </row>
    <row r="257" spans="1:14" ht="10.5">
      <c r="A257" s="28">
        <v>69</v>
      </c>
      <c r="B257" s="7" t="s">
        <v>110</v>
      </c>
      <c r="C257" s="32" t="s">
        <v>287</v>
      </c>
      <c r="D257" s="35">
        <v>0</v>
      </c>
      <c r="F257" s="27">
        <f>ROUND(SUMIF(Определители!I6:I24,"=:",'Текущие цены с учетом расхода'!B6:B24),2)</f>
        <v>0</v>
      </c>
      <c r="G257" s="27">
        <f>ROUND(SUMIF(Определители!I6:I24,"=:",'Текущие цены с учетом расхода'!C6:C24),2)</f>
        <v>0</v>
      </c>
      <c r="H257" s="27">
        <f>ROUND(SUMIF(Определители!I6:I24,"=:",'Текущие цены с учетом расхода'!D6:D24),2)</f>
        <v>0</v>
      </c>
      <c r="I257" s="27">
        <f>ROUND(SUMIF(Определители!I6:I24,"=:",'Текущие цены с учетом расхода'!E6:E24),2)</f>
        <v>0</v>
      </c>
      <c r="J257" s="31">
        <f>ROUND(SUMIF(Определители!I6:I24,"=:",'Текущие цены с учетом расхода'!I6:I24),8)</f>
        <v>0</v>
      </c>
      <c r="K257" s="31">
        <f>ROUND(SUMIF(Определители!I6:I24,"=:",'Текущие цены с учетом расхода'!K6:K24),8)</f>
        <v>0</v>
      </c>
      <c r="L257" s="27">
        <f>ROUND(SUMIF(Определители!I6:I24,"=:",'Текущие цены с учетом расхода'!F6:F24),2)</f>
        <v>0</v>
      </c>
      <c r="N257" s="32" t="s">
        <v>357</v>
      </c>
    </row>
    <row r="258" spans="1:14" ht="10.5">
      <c r="A258" s="28">
        <v>70</v>
      </c>
      <c r="B258" s="7" t="s">
        <v>86</v>
      </c>
      <c r="C258" s="32" t="s">
        <v>287</v>
      </c>
      <c r="D258" s="35">
        <v>0</v>
      </c>
      <c r="F258" s="27">
        <f>ROUND(SUMIF(Определители!I6:I24,"=:",'Текущие цены с учетом расхода'!H6:H24),2)</f>
        <v>0</v>
      </c>
      <c r="G258" s="27"/>
      <c r="H258" s="27"/>
      <c r="I258" s="27"/>
      <c r="J258" s="31"/>
      <c r="K258" s="31"/>
      <c r="L258" s="27"/>
      <c r="N258" s="32" t="s">
        <v>358</v>
      </c>
    </row>
    <row r="259" spans="1:14" ht="10.5">
      <c r="A259" s="28">
        <v>71</v>
      </c>
      <c r="B259" s="7" t="s">
        <v>87</v>
      </c>
      <c r="C259" s="32" t="s">
        <v>287</v>
      </c>
      <c r="D259" s="35">
        <v>0</v>
      </c>
      <c r="F259" s="27">
        <f>ROUND(SUMIF(Определители!I6:I24,"=:",'Текущие цены с учетом расхода'!N6:N24),2)</f>
        <v>0</v>
      </c>
      <c r="G259" s="27"/>
      <c r="H259" s="27"/>
      <c r="I259" s="27"/>
      <c r="J259" s="31"/>
      <c r="K259" s="31"/>
      <c r="L259" s="27"/>
      <c r="N259" s="32" t="s">
        <v>359</v>
      </c>
    </row>
    <row r="260" spans="1:14" ht="10.5">
      <c r="A260" s="28">
        <v>72</v>
      </c>
      <c r="B260" s="7" t="s">
        <v>88</v>
      </c>
      <c r="C260" s="32" t="s">
        <v>287</v>
      </c>
      <c r="D260" s="35">
        <v>0</v>
      </c>
      <c r="F260" s="27">
        <f>ROUND(SUMIF(Определители!I6:I24,"=:",'Текущие цены с учетом расхода'!O6:O24),2)</f>
        <v>0</v>
      </c>
      <c r="G260" s="27"/>
      <c r="H260" s="27"/>
      <c r="I260" s="27"/>
      <c r="J260" s="31"/>
      <c r="K260" s="31"/>
      <c r="L260" s="27"/>
      <c r="N260" s="32" t="s">
        <v>360</v>
      </c>
    </row>
    <row r="261" spans="1:14" ht="10.5">
      <c r="A261" s="28">
        <v>73</v>
      </c>
      <c r="B261" s="7" t="s">
        <v>111</v>
      </c>
      <c r="C261" s="32" t="s">
        <v>288</v>
      </c>
      <c r="D261" s="35">
        <v>0</v>
      </c>
      <c r="F261" s="27">
        <f>ROUND((F257+F259+F260),2)</f>
        <v>0</v>
      </c>
      <c r="G261" s="27"/>
      <c r="H261" s="27"/>
      <c r="I261" s="27"/>
      <c r="J261" s="31"/>
      <c r="K261" s="31"/>
      <c r="L261" s="27"/>
      <c r="N261" s="32" t="s">
        <v>361</v>
      </c>
    </row>
    <row r="262" spans="1:14" ht="10.5">
      <c r="A262" s="28">
        <v>74</v>
      </c>
      <c r="B262" s="7" t="s">
        <v>112</v>
      </c>
      <c r="C262" s="32" t="s">
        <v>287</v>
      </c>
      <c r="D262" s="35">
        <v>0</v>
      </c>
      <c r="F262" s="27">
        <f>ROUND(SUMIF(Определители!I6:I24,"=8",'Текущие цены с учетом расхода'!B6:B24),2)</f>
        <v>0</v>
      </c>
      <c r="G262" s="27">
        <f>ROUND(SUMIF(Определители!I6:I24,"=8",'Текущие цены с учетом расхода'!C6:C24),2)</f>
        <v>0</v>
      </c>
      <c r="H262" s="27">
        <f>ROUND(SUMIF(Определители!I6:I24,"=8",'Текущие цены с учетом расхода'!D6:D24),2)</f>
        <v>0</v>
      </c>
      <c r="I262" s="27">
        <f>ROUND(SUMIF(Определители!I6:I24,"=8",'Текущие цены с учетом расхода'!E6:E24),2)</f>
        <v>0</v>
      </c>
      <c r="J262" s="31">
        <f>ROUND(SUMIF(Определители!I6:I24,"=8",'Текущие цены с учетом расхода'!I6:I24),8)</f>
        <v>0</v>
      </c>
      <c r="K262" s="31">
        <f>ROUND(SUMIF(Определители!I6:I24,"=8",'Текущие цены с учетом расхода'!K6:K24),8)</f>
        <v>0</v>
      </c>
      <c r="L262" s="27">
        <f>ROUND(SUMIF(Определители!I6:I24,"=8",'Текущие цены с учетом расхода'!F6:F24),2)</f>
        <v>0</v>
      </c>
      <c r="N262" s="32" t="s">
        <v>362</v>
      </c>
    </row>
    <row r="263" spans="1:14" ht="10.5">
      <c r="A263" s="28">
        <v>75</v>
      </c>
      <c r="B263" s="7" t="s">
        <v>86</v>
      </c>
      <c r="C263" s="32" t="s">
        <v>287</v>
      </c>
      <c r="D263" s="35">
        <v>0</v>
      </c>
      <c r="F263" s="27">
        <f>ROUND(SUMIF(Определители!I6:I24,"=8",'Текущие цены с учетом расхода'!H6:H24),2)</f>
        <v>0</v>
      </c>
      <c r="G263" s="27"/>
      <c r="H263" s="27"/>
      <c r="I263" s="27"/>
      <c r="J263" s="31"/>
      <c r="K263" s="31"/>
      <c r="L263" s="27"/>
      <c r="N263" s="32" t="s">
        <v>363</v>
      </c>
    </row>
    <row r="264" spans="1:14" ht="10.5">
      <c r="A264" s="28">
        <v>76</v>
      </c>
      <c r="B264" s="7" t="s">
        <v>171</v>
      </c>
      <c r="C264" s="32" t="s">
        <v>288</v>
      </c>
      <c r="D264" s="35">
        <v>0</v>
      </c>
      <c r="F264" s="27">
        <f>ROUND((F199+F209+F216+F221+F229+F234+F239+F246+F256+F261+F262+F252),2)</f>
        <v>242843.75</v>
      </c>
      <c r="G264" s="27">
        <f>ROUND((G199+G209+G216+G221+G229+G234+G239+G246+G256+G261+G262+G252),2)</f>
        <v>0</v>
      </c>
      <c r="H264" s="27">
        <f>ROUND((H199+H209+H216+H221+H229+H234+H239+H246+H256+H261+H262+H252),2)</f>
        <v>0</v>
      </c>
      <c r="I264" s="27">
        <f>ROUND((I199+I209+I216+I221+I229+I234+I239+I246+I256+I261+I262+I252),2)</f>
        <v>0</v>
      </c>
      <c r="J264" s="31">
        <f>ROUND((J199+J209+J216+J221+J229+J234+J239+J246+J256+J261+J262+J252),8)</f>
        <v>0</v>
      </c>
      <c r="K264" s="31">
        <f>ROUND((K199+K209+K216+K221+K229+K234+K239+K246+K256+K261+K262+K252),8)</f>
        <v>0</v>
      </c>
      <c r="L264" s="27">
        <f>ROUND((L199+L209+L216+L221+L229+L234+L239+L246+L256+L261+L262+L252),2)</f>
        <v>0</v>
      </c>
      <c r="N264" s="32" t="s">
        <v>364</v>
      </c>
    </row>
    <row r="265" spans="1:14" ht="10.5">
      <c r="A265" s="28">
        <v>77</v>
      </c>
      <c r="B265" s="7" t="s">
        <v>113</v>
      </c>
      <c r="C265" s="32" t="s">
        <v>288</v>
      </c>
      <c r="D265" s="35">
        <v>0</v>
      </c>
      <c r="F265" s="27">
        <f>ROUND((F205+F213+F218+F225+F231+F236+F243+F258+F263),2)</f>
        <v>0</v>
      </c>
      <c r="G265" s="27"/>
      <c r="H265" s="27"/>
      <c r="I265" s="27"/>
      <c r="J265" s="31"/>
      <c r="K265" s="31"/>
      <c r="L265" s="27"/>
      <c r="N265" s="32" t="s">
        <v>365</v>
      </c>
    </row>
    <row r="266" spans="1:14" ht="10.5">
      <c r="A266" s="28">
        <v>78</v>
      </c>
      <c r="B266" s="7" t="s">
        <v>114</v>
      </c>
      <c r="C266" s="32" t="s">
        <v>288</v>
      </c>
      <c r="D266" s="35">
        <v>0</v>
      </c>
      <c r="F266" s="27">
        <f>ROUND((F206+F214+F219+F226+F232+F237+F244+F254+F259+F250),2)</f>
        <v>73581.25</v>
      </c>
      <c r="G266" s="27"/>
      <c r="H266" s="27"/>
      <c r="I266" s="27"/>
      <c r="J266" s="31"/>
      <c r="K266" s="31"/>
      <c r="L266" s="27"/>
      <c r="N266" s="32" t="s">
        <v>366</v>
      </c>
    </row>
    <row r="267" spans="1:14" ht="10.5">
      <c r="A267" s="28">
        <v>79</v>
      </c>
      <c r="B267" s="7" t="s">
        <v>115</v>
      </c>
      <c r="C267" s="32" t="s">
        <v>288</v>
      </c>
      <c r="D267" s="35">
        <v>0</v>
      </c>
      <c r="F267" s="27">
        <f>ROUND((F207+F215+F220+F227+F233+F238+F245+F255+F260+F251),2)</f>
        <v>43192.83</v>
      </c>
      <c r="G267" s="27"/>
      <c r="H267" s="27"/>
      <c r="I267" s="27"/>
      <c r="J267" s="31"/>
      <c r="K267" s="31"/>
      <c r="L267" s="27"/>
      <c r="N267" s="32" t="s">
        <v>367</v>
      </c>
    </row>
    <row r="268" spans="1:14" ht="10.5">
      <c r="A268" s="28">
        <v>80</v>
      </c>
      <c r="B268" s="7" t="s">
        <v>38</v>
      </c>
      <c r="C268" s="32" t="s">
        <v>289</v>
      </c>
      <c r="D268" s="35">
        <v>0</v>
      </c>
      <c r="F268" s="27">
        <f>ROUND(SUM('Текущие цены с учетом расхода'!X6:X24),2)</f>
        <v>0</v>
      </c>
      <c r="G268" s="27"/>
      <c r="H268" s="27"/>
      <c r="I268" s="27"/>
      <c r="J268" s="31"/>
      <c r="K268" s="31"/>
      <c r="L268" s="27">
        <f>ROUND(SUM('Текущие цены с учетом расхода'!X6:X24),2)</f>
        <v>0</v>
      </c>
      <c r="N268" s="32" t="s">
        <v>368</v>
      </c>
    </row>
    <row r="269" spans="1:14" ht="10.5">
      <c r="A269" s="28">
        <v>81</v>
      </c>
      <c r="B269" s="7" t="s">
        <v>116</v>
      </c>
      <c r="C269" s="32" t="s">
        <v>289</v>
      </c>
      <c r="D269" s="35">
        <v>0</v>
      </c>
      <c r="F269" s="27">
        <f>ROUND(SUM(G269:N269),2)</f>
        <v>0</v>
      </c>
      <c r="G269" s="27"/>
      <c r="H269" s="27"/>
      <c r="I269" s="27"/>
      <c r="J269" s="31"/>
      <c r="K269" s="31"/>
      <c r="L269" s="27">
        <f>ROUND(SUM('Текущие цены с учетом расхода'!AE6:AE24),2)</f>
        <v>0</v>
      </c>
      <c r="N269" s="32" t="s">
        <v>369</v>
      </c>
    </row>
    <row r="270" spans="1:14" ht="10.5">
      <c r="A270" s="28">
        <v>82</v>
      </c>
      <c r="B270" s="7" t="s">
        <v>117</v>
      </c>
      <c r="C270" s="32" t="s">
        <v>289</v>
      </c>
      <c r="D270" s="35">
        <v>0</v>
      </c>
      <c r="F270" s="27">
        <f>ROUND(SUM('Текущие цены с учетом расхода'!C6:C24),2)</f>
        <v>65619.36</v>
      </c>
      <c r="G270" s="27"/>
      <c r="H270" s="27"/>
      <c r="I270" s="27"/>
      <c r="J270" s="31"/>
      <c r="K270" s="31"/>
      <c r="L270" s="27"/>
      <c r="N270" s="32" t="s">
        <v>370</v>
      </c>
    </row>
    <row r="271" spans="1:14" ht="10.5">
      <c r="A271" s="28">
        <v>83</v>
      </c>
      <c r="B271" s="7" t="s">
        <v>118</v>
      </c>
      <c r="C271" s="32" t="s">
        <v>289</v>
      </c>
      <c r="D271" s="35">
        <v>0</v>
      </c>
      <c r="F271" s="27">
        <f>ROUND(SUM('Текущие цены с учетом расхода'!E6:E24),2)</f>
        <v>1909.16</v>
      </c>
      <c r="G271" s="27"/>
      <c r="H271" s="27"/>
      <c r="I271" s="27"/>
      <c r="J271" s="31"/>
      <c r="K271" s="31"/>
      <c r="L271" s="27"/>
      <c r="N271" s="32" t="s">
        <v>371</v>
      </c>
    </row>
    <row r="272" spans="1:14" ht="10.5">
      <c r="A272" s="28">
        <v>84</v>
      </c>
      <c r="B272" s="7" t="s">
        <v>119</v>
      </c>
      <c r="C272" s="32" t="s">
        <v>290</v>
      </c>
      <c r="D272" s="35">
        <v>0</v>
      </c>
      <c r="F272" s="27">
        <f>ROUND((F270+F271),2)</f>
        <v>67528.52</v>
      </c>
      <c r="G272" s="27"/>
      <c r="H272" s="27"/>
      <c r="I272" s="27"/>
      <c r="J272" s="31"/>
      <c r="K272" s="31"/>
      <c r="L272" s="27"/>
      <c r="N272" s="32" t="s">
        <v>372</v>
      </c>
    </row>
    <row r="273" spans="1:14" ht="10.5">
      <c r="A273" s="28">
        <v>85</v>
      </c>
      <c r="B273" s="7" t="s">
        <v>120</v>
      </c>
      <c r="C273" s="32" t="s">
        <v>289</v>
      </c>
      <c r="D273" s="35">
        <v>0</v>
      </c>
      <c r="F273" s="27"/>
      <c r="G273" s="27"/>
      <c r="H273" s="27"/>
      <c r="I273" s="27"/>
      <c r="J273" s="31">
        <f>ROUND(SUM('Текущие цены с учетом расхода'!I6:I24),8)</f>
        <v>286.677975</v>
      </c>
      <c r="K273" s="31"/>
      <c r="L273" s="27"/>
      <c r="N273" s="32" t="s">
        <v>373</v>
      </c>
    </row>
    <row r="274" spans="1:14" ht="10.5">
      <c r="A274" s="28">
        <v>86</v>
      </c>
      <c r="B274" s="7" t="s">
        <v>121</v>
      </c>
      <c r="C274" s="32" t="s">
        <v>289</v>
      </c>
      <c r="D274" s="35">
        <v>0</v>
      </c>
      <c r="F274" s="27"/>
      <c r="G274" s="27"/>
      <c r="H274" s="27"/>
      <c r="I274" s="27"/>
      <c r="J274" s="31">
        <f>ROUND(SUM('Текущие цены с учетом расхода'!K6:K24),8)</f>
        <v>6.369375</v>
      </c>
      <c r="K274" s="31"/>
      <c r="L274" s="27"/>
      <c r="N274" s="32" t="s">
        <v>374</v>
      </c>
    </row>
    <row r="275" spans="1:14" ht="10.5">
      <c r="A275" s="28">
        <v>87</v>
      </c>
      <c r="B275" s="7" t="s">
        <v>122</v>
      </c>
      <c r="C275" s="32" t="s">
        <v>290</v>
      </c>
      <c r="D275" s="35">
        <v>0</v>
      </c>
      <c r="F275" s="27"/>
      <c r="G275" s="27"/>
      <c r="H275" s="27"/>
      <c r="I275" s="27"/>
      <c r="J275" s="31">
        <f>ROUND((J273+J274),8)</f>
        <v>293.04735</v>
      </c>
      <c r="K275" s="31"/>
      <c r="L275" s="27"/>
      <c r="N275" s="32" t="s">
        <v>375</v>
      </c>
    </row>
  </sheetData>
  <sheetProtection/>
  <mergeCells count="6">
    <mergeCell ref="B7:L8"/>
    <mergeCell ref="B98:L99"/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K1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8" customWidth="1"/>
    <col min="2" max="16384" width="9.140625" style="27" customWidth="1"/>
  </cols>
  <sheetData>
    <row r="1" spans="1:37" s="29" customFormat="1" ht="10.5">
      <c r="A1" s="5"/>
      <c r="B1" s="29" t="s">
        <v>175</v>
      </c>
      <c r="C1" s="29" t="s">
        <v>176</v>
      </c>
      <c r="D1" s="29" t="s">
        <v>177</v>
      </c>
      <c r="E1" s="29" t="s">
        <v>178</v>
      </c>
      <c r="F1" s="29" t="s">
        <v>179</v>
      </c>
      <c r="G1" s="29" t="s">
        <v>180</v>
      </c>
      <c r="H1" s="29" t="s">
        <v>181</v>
      </c>
      <c r="I1" s="29" t="s">
        <v>182</v>
      </c>
      <c r="J1" s="29" t="s">
        <v>183</v>
      </c>
      <c r="K1" s="29" t="s">
        <v>184</v>
      </c>
      <c r="L1" s="29" t="s">
        <v>185</v>
      </c>
      <c r="M1" s="29" t="s">
        <v>186</v>
      </c>
      <c r="N1" s="29" t="s">
        <v>187</v>
      </c>
      <c r="O1" s="29" t="s">
        <v>188</v>
      </c>
      <c r="P1" s="29" t="s">
        <v>189</v>
      </c>
      <c r="Q1" s="29" t="s">
        <v>190</v>
      </c>
      <c r="R1" s="29" t="s">
        <v>191</v>
      </c>
      <c r="S1" s="29" t="s">
        <v>192</v>
      </c>
      <c r="T1" s="29" t="s">
        <v>193</v>
      </c>
      <c r="U1" s="29" t="s">
        <v>194</v>
      </c>
      <c r="V1" s="29" t="s">
        <v>195</v>
      </c>
      <c r="X1" s="29" t="s">
        <v>196</v>
      </c>
      <c r="Y1" s="29" t="s">
        <v>197</v>
      </c>
      <c r="Z1" s="29" t="s">
        <v>198</v>
      </c>
      <c r="AA1" s="29" t="s">
        <v>199</v>
      </c>
      <c r="AB1" s="29" t="s">
        <v>200</v>
      </c>
      <c r="AC1" s="29" t="s">
        <v>201</v>
      </c>
      <c r="AD1" s="29" t="s">
        <v>202</v>
      </c>
      <c r="AE1" s="29" t="s">
        <v>203</v>
      </c>
      <c r="AF1" s="29" t="s">
        <v>204</v>
      </c>
      <c r="AG1" s="29" t="s">
        <v>205</v>
      </c>
      <c r="AH1" s="29" t="s">
        <v>206</v>
      </c>
      <c r="AI1" s="29" t="s">
        <v>207</v>
      </c>
      <c r="AJ1" s="29" t="s">
        <v>208</v>
      </c>
      <c r="AK1" s="29" t="s">
        <v>209</v>
      </c>
    </row>
    <row r="2" spans="1:12" ht="10.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0.5">
      <c r="A3" s="30"/>
      <c r="B3" s="49" t="s">
        <v>210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0.5">
      <c r="A4" s="30"/>
      <c r="B4" s="49" t="s">
        <v>211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0.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37" ht="10.5">
      <c r="A6" s="27"/>
      <c r="B6" s="27">
        <f aca="true" t="shared" si="0" ref="B6:B18">ROUND(C6+D6+F6+AF6+AG6,2)</f>
        <v>29.41</v>
      </c>
      <c r="C6" s="27">
        <v>29.41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8">
        <v>3.77</v>
      </c>
      <c r="J6" s="28">
        <v>0</v>
      </c>
      <c r="K6" s="28">
        <v>0</v>
      </c>
      <c r="L6" s="27">
        <v>0</v>
      </c>
      <c r="M6" s="27">
        <v>0</v>
      </c>
      <c r="N6" s="27">
        <v>23.528</v>
      </c>
      <c r="O6" s="27">
        <v>19.9988</v>
      </c>
      <c r="P6" s="27">
        <v>23.528</v>
      </c>
      <c r="Q6" s="27">
        <v>0</v>
      </c>
      <c r="R6" s="27">
        <v>19.9988</v>
      </c>
      <c r="S6" s="27">
        <v>0</v>
      </c>
      <c r="T6" s="27">
        <v>0</v>
      </c>
      <c r="U6" s="27">
        <v>0</v>
      </c>
      <c r="V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H6" s="27">
        <v>0</v>
      </c>
      <c r="AI6" s="27">
        <v>0</v>
      </c>
      <c r="AJ6" s="27">
        <v>0</v>
      </c>
      <c r="AK6" s="27">
        <v>0</v>
      </c>
    </row>
    <row r="7" spans="1:37" ht="10.5">
      <c r="A7" s="27"/>
      <c r="B7" s="27">
        <f t="shared" si="0"/>
        <v>92.9</v>
      </c>
      <c r="C7" s="27">
        <v>88.84</v>
      </c>
      <c r="D7" s="27">
        <v>4.06</v>
      </c>
      <c r="E7" s="27">
        <v>1.76</v>
      </c>
      <c r="F7" s="27">
        <v>0</v>
      </c>
      <c r="G7" s="27">
        <v>0</v>
      </c>
      <c r="H7" s="27">
        <v>0</v>
      </c>
      <c r="I7" s="28">
        <v>11.39</v>
      </c>
      <c r="J7" s="28">
        <v>0</v>
      </c>
      <c r="K7" s="28">
        <v>0.13</v>
      </c>
      <c r="L7" s="27">
        <v>0</v>
      </c>
      <c r="M7" s="27">
        <v>0</v>
      </c>
      <c r="N7" s="27">
        <v>72.48</v>
      </c>
      <c r="O7" s="27">
        <v>61.608</v>
      </c>
      <c r="P7" s="27">
        <v>71.072</v>
      </c>
      <c r="Q7" s="27">
        <v>1.408</v>
      </c>
      <c r="R7" s="27">
        <v>60.4112</v>
      </c>
      <c r="S7" s="27">
        <v>1.1968</v>
      </c>
      <c r="T7" s="27">
        <v>0</v>
      </c>
      <c r="U7" s="27">
        <v>0</v>
      </c>
      <c r="V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H7" s="27">
        <v>0</v>
      </c>
      <c r="AI7" s="27">
        <v>0</v>
      </c>
      <c r="AJ7" s="27">
        <v>0</v>
      </c>
      <c r="AK7" s="27">
        <v>0</v>
      </c>
    </row>
    <row r="8" spans="1:37" ht="10.5">
      <c r="A8" s="27"/>
      <c r="B8" s="27">
        <f t="shared" si="0"/>
        <v>116.22</v>
      </c>
      <c r="C8" s="27">
        <v>116.22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8">
        <v>14.9</v>
      </c>
      <c r="J8" s="28">
        <v>0</v>
      </c>
      <c r="K8" s="28">
        <v>0</v>
      </c>
      <c r="L8" s="27">
        <v>0</v>
      </c>
      <c r="M8" s="27">
        <v>0</v>
      </c>
      <c r="N8" s="27">
        <v>92.976</v>
      </c>
      <c r="O8" s="27">
        <v>79.0296</v>
      </c>
      <c r="P8" s="27">
        <v>92.976</v>
      </c>
      <c r="Q8" s="27">
        <v>0</v>
      </c>
      <c r="R8" s="27">
        <v>79.0296</v>
      </c>
      <c r="S8" s="27">
        <v>0</v>
      </c>
      <c r="T8" s="27">
        <v>0</v>
      </c>
      <c r="U8" s="27">
        <v>0</v>
      </c>
      <c r="V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H8" s="27">
        <v>0</v>
      </c>
      <c r="AI8" s="27">
        <v>0</v>
      </c>
      <c r="AJ8" s="27">
        <v>0</v>
      </c>
      <c r="AK8" s="27">
        <v>0</v>
      </c>
    </row>
    <row r="9" spans="1:37" ht="10.5">
      <c r="A9" s="27"/>
      <c r="B9" s="27">
        <f t="shared" si="0"/>
        <v>59.83</v>
      </c>
      <c r="C9" s="27">
        <v>59.83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8">
        <v>7.67</v>
      </c>
      <c r="J9" s="28">
        <v>0</v>
      </c>
      <c r="K9" s="28">
        <v>0</v>
      </c>
      <c r="L9" s="27">
        <v>0</v>
      </c>
      <c r="M9" s="27">
        <v>0</v>
      </c>
      <c r="N9" s="27">
        <v>47.864</v>
      </c>
      <c r="O9" s="27">
        <v>40.6844</v>
      </c>
      <c r="P9" s="27">
        <v>47.864</v>
      </c>
      <c r="Q9" s="27">
        <v>0</v>
      </c>
      <c r="R9" s="27">
        <v>40.6844</v>
      </c>
      <c r="S9" s="27">
        <v>0</v>
      </c>
      <c r="T9" s="27">
        <v>0</v>
      </c>
      <c r="U9" s="27">
        <v>0</v>
      </c>
      <c r="V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H9" s="27">
        <v>0</v>
      </c>
      <c r="AI9" s="27">
        <v>0</v>
      </c>
      <c r="AJ9" s="27">
        <v>0</v>
      </c>
      <c r="AK9" s="27">
        <v>0</v>
      </c>
    </row>
    <row r="10" spans="1:37" ht="10.5">
      <c r="A10" s="27"/>
      <c r="B10" s="27">
        <f t="shared" si="0"/>
        <v>229.1</v>
      </c>
      <c r="C10" s="27">
        <v>18.77</v>
      </c>
      <c r="D10" s="27">
        <v>29.93</v>
      </c>
      <c r="E10" s="27">
        <v>5.15</v>
      </c>
      <c r="F10" s="27">
        <v>180.4</v>
      </c>
      <c r="G10" s="27">
        <v>166.331</v>
      </c>
      <c r="H10" s="27">
        <v>0</v>
      </c>
      <c r="I10" s="28">
        <v>2.2</v>
      </c>
      <c r="J10" s="28">
        <v>0</v>
      </c>
      <c r="K10" s="28">
        <v>0.45</v>
      </c>
      <c r="L10" s="27">
        <v>0</v>
      </c>
      <c r="M10" s="27">
        <v>0</v>
      </c>
      <c r="N10" s="27">
        <v>26.47944</v>
      </c>
      <c r="O10" s="27">
        <v>15.249</v>
      </c>
      <c r="P10" s="27">
        <v>20.77839</v>
      </c>
      <c r="Q10" s="27">
        <v>5.70105</v>
      </c>
      <c r="R10" s="27">
        <v>11.965875</v>
      </c>
      <c r="S10" s="27">
        <v>3.283125</v>
      </c>
      <c r="T10" s="27">
        <v>0</v>
      </c>
      <c r="U10" s="27">
        <v>0</v>
      </c>
      <c r="V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H10" s="27">
        <v>0</v>
      </c>
      <c r="AI10" s="27">
        <v>0</v>
      </c>
      <c r="AJ10" s="27">
        <v>0</v>
      </c>
      <c r="AK10" s="27">
        <v>0</v>
      </c>
    </row>
    <row r="11" spans="1:37" ht="10.5">
      <c r="A11" s="27"/>
      <c r="B11" s="27">
        <f t="shared" si="0"/>
        <v>123.38</v>
      </c>
      <c r="C11" s="27">
        <v>29.46</v>
      </c>
      <c r="D11" s="27">
        <v>27.24</v>
      </c>
      <c r="E11" s="27">
        <v>3.01</v>
      </c>
      <c r="F11" s="27">
        <v>66.682</v>
      </c>
      <c r="G11" s="27">
        <v>30.288</v>
      </c>
      <c r="H11" s="27">
        <v>0</v>
      </c>
      <c r="I11" s="28">
        <v>3.41</v>
      </c>
      <c r="J11" s="28">
        <v>0</v>
      </c>
      <c r="K11" s="28">
        <v>0.3</v>
      </c>
      <c r="L11" s="27">
        <v>0</v>
      </c>
      <c r="M11" s="27">
        <v>0</v>
      </c>
      <c r="N11" s="27">
        <v>35.94429</v>
      </c>
      <c r="O11" s="27">
        <v>20.699625</v>
      </c>
      <c r="P11" s="27">
        <v>32.61222</v>
      </c>
      <c r="Q11" s="27">
        <v>3.33207</v>
      </c>
      <c r="R11" s="27">
        <v>18.78075</v>
      </c>
      <c r="S11" s="27">
        <v>1.918875</v>
      </c>
      <c r="T11" s="27">
        <v>0</v>
      </c>
      <c r="U11" s="27">
        <v>0</v>
      </c>
      <c r="V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H11" s="27">
        <v>0</v>
      </c>
      <c r="AI11" s="27">
        <v>0</v>
      </c>
      <c r="AJ11" s="27">
        <v>0</v>
      </c>
      <c r="AK11" s="27">
        <v>0</v>
      </c>
    </row>
    <row r="12" spans="1:37" ht="10.5">
      <c r="A12" s="27"/>
      <c r="B12" s="27">
        <f t="shared" si="0"/>
        <v>1144.88</v>
      </c>
      <c r="C12" s="27">
        <v>295.05</v>
      </c>
      <c r="D12" s="27">
        <v>157.21</v>
      </c>
      <c r="E12" s="27">
        <v>5.33</v>
      </c>
      <c r="F12" s="27">
        <v>692.62</v>
      </c>
      <c r="G12" s="27">
        <v>0</v>
      </c>
      <c r="H12" s="27">
        <v>0</v>
      </c>
      <c r="I12" s="28">
        <v>26.97</v>
      </c>
      <c r="J12" s="28">
        <v>0</v>
      </c>
      <c r="K12" s="28">
        <v>0.43</v>
      </c>
      <c r="L12" s="27">
        <v>0</v>
      </c>
      <c r="M12" s="27">
        <v>0</v>
      </c>
      <c r="N12" s="27">
        <v>332.52066</v>
      </c>
      <c r="O12" s="27">
        <v>191.49225</v>
      </c>
      <c r="P12" s="27">
        <v>326.62035</v>
      </c>
      <c r="Q12" s="27">
        <v>5.90031</v>
      </c>
      <c r="R12" s="27">
        <v>188.094375</v>
      </c>
      <c r="S12" s="27">
        <v>3.397875</v>
      </c>
      <c r="T12" s="27">
        <v>0</v>
      </c>
      <c r="U12" s="27">
        <v>0</v>
      </c>
      <c r="V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H12" s="27">
        <v>0</v>
      </c>
      <c r="AI12" s="27">
        <v>0</v>
      </c>
      <c r="AJ12" s="27">
        <v>0</v>
      </c>
      <c r="AK12" s="27">
        <v>0</v>
      </c>
    </row>
    <row r="13" spans="1:37" ht="10.5">
      <c r="A13" s="27"/>
      <c r="B13" s="27">
        <f t="shared" si="0"/>
        <v>1848.07</v>
      </c>
      <c r="C13" s="27">
        <v>317.07</v>
      </c>
      <c r="D13" s="27">
        <v>42.05</v>
      </c>
      <c r="E13" s="27">
        <v>17.15</v>
      </c>
      <c r="F13" s="27">
        <v>1488.9476</v>
      </c>
      <c r="G13" s="27">
        <v>1317.33</v>
      </c>
      <c r="H13" s="27">
        <v>0</v>
      </c>
      <c r="I13" s="28">
        <v>40.65</v>
      </c>
      <c r="J13" s="28">
        <v>0</v>
      </c>
      <c r="K13" s="28">
        <v>1.27</v>
      </c>
      <c r="L13" s="27">
        <v>0</v>
      </c>
      <c r="M13" s="27">
        <v>0</v>
      </c>
      <c r="N13" s="27">
        <v>369.98154</v>
      </c>
      <c r="O13" s="27">
        <v>213.06525</v>
      </c>
      <c r="P13" s="27">
        <v>350.99649</v>
      </c>
      <c r="Q13" s="27">
        <v>18.98505</v>
      </c>
      <c r="R13" s="27">
        <v>202.132125</v>
      </c>
      <c r="S13" s="27">
        <v>10.933125</v>
      </c>
      <c r="T13" s="27">
        <v>0</v>
      </c>
      <c r="U13" s="27">
        <v>0</v>
      </c>
      <c r="V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H13" s="27">
        <v>0</v>
      </c>
      <c r="AI13" s="27">
        <v>0</v>
      </c>
      <c r="AJ13" s="27">
        <v>0</v>
      </c>
      <c r="AK13" s="27">
        <v>0</v>
      </c>
    </row>
    <row r="14" spans="1:37" ht="10.5">
      <c r="A14" s="27"/>
      <c r="B14" s="27">
        <f t="shared" si="0"/>
        <v>751.82</v>
      </c>
      <c r="C14" s="27">
        <v>3.9</v>
      </c>
      <c r="D14" s="27">
        <v>7.72</v>
      </c>
      <c r="E14" s="27">
        <v>2.84</v>
      </c>
      <c r="F14" s="27">
        <v>740.2038</v>
      </c>
      <c r="G14" s="27">
        <v>658.665</v>
      </c>
      <c r="H14" s="27">
        <v>0</v>
      </c>
      <c r="I14" s="28">
        <v>0.5</v>
      </c>
      <c r="J14" s="28">
        <v>0</v>
      </c>
      <c r="K14" s="28">
        <v>0.21</v>
      </c>
      <c r="L14" s="27">
        <v>0</v>
      </c>
      <c r="M14" s="27">
        <v>0</v>
      </c>
      <c r="N14" s="27">
        <v>7.46118</v>
      </c>
      <c r="O14" s="27">
        <v>4.29675</v>
      </c>
      <c r="P14" s="27">
        <v>4.3173</v>
      </c>
      <c r="Q14" s="27">
        <v>3.14388</v>
      </c>
      <c r="R14" s="27">
        <v>2.48625</v>
      </c>
      <c r="S14" s="27">
        <v>1.8105</v>
      </c>
      <c r="T14" s="27">
        <v>0</v>
      </c>
      <c r="U14" s="27">
        <v>0</v>
      </c>
      <c r="V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H14" s="27">
        <v>0</v>
      </c>
      <c r="AI14" s="27">
        <v>0</v>
      </c>
      <c r="AJ14" s="27">
        <v>0</v>
      </c>
      <c r="AK14" s="27">
        <v>0</v>
      </c>
    </row>
    <row r="15" spans="1:37" ht="10.5">
      <c r="A15" s="27"/>
      <c r="B15" s="27">
        <f t="shared" si="0"/>
        <v>6079.97</v>
      </c>
      <c r="C15" s="27">
        <v>111.99</v>
      </c>
      <c r="D15" s="27">
        <v>32.38</v>
      </c>
      <c r="E15" s="27">
        <v>4.71</v>
      </c>
      <c r="F15" s="27">
        <v>5935.6</v>
      </c>
      <c r="G15" s="27">
        <v>5505.05</v>
      </c>
      <c r="H15" s="27">
        <v>0</v>
      </c>
      <c r="I15" s="28">
        <v>12.64</v>
      </c>
      <c r="J15" s="28">
        <v>0</v>
      </c>
      <c r="K15" s="28">
        <v>0.38</v>
      </c>
      <c r="L15" s="27">
        <v>0</v>
      </c>
      <c r="M15" s="27">
        <v>0</v>
      </c>
      <c r="N15" s="27">
        <v>110.2815</v>
      </c>
      <c r="O15" s="27">
        <v>64.47675</v>
      </c>
      <c r="P15" s="27">
        <v>105.83055</v>
      </c>
      <c r="Q15" s="27">
        <v>4.45095</v>
      </c>
      <c r="R15" s="27">
        <v>61.874475</v>
      </c>
      <c r="S15" s="27">
        <v>2.602275</v>
      </c>
      <c r="T15" s="27">
        <v>0</v>
      </c>
      <c r="U15" s="27">
        <v>0</v>
      </c>
      <c r="V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H15" s="27">
        <v>0</v>
      </c>
      <c r="AI15" s="27">
        <v>0</v>
      </c>
      <c r="AJ15" s="27">
        <v>0</v>
      </c>
      <c r="AK15" s="27">
        <v>0</v>
      </c>
    </row>
    <row r="16" spans="1:37" ht="10.5">
      <c r="A16" s="27"/>
      <c r="B16" s="27">
        <f t="shared" si="0"/>
        <v>5981.97</v>
      </c>
      <c r="C16" s="27">
        <v>262.13</v>
      </c>
      <c r="D16" s="27">
        <v>3.25</v>
      </c>
      <c r="E16" s="27">
        <v>1.04</v>
      </c>
      <c r="F16" s="27">
        <v>5716.59</v>
      </c>
      <c r="G16" s="27">
        <v>0</v>
      </c>
      <c r="H16" s="27">
        <v>0</v>
      </c>
      <c r="I16" s="28">
        <v>30.73</v>
      </c>
      <c r="J16" s="28">
        <v>0</v>
      </c>
      <c r="K16" s="28">
        <v>0.09</v>
      </c>
      <c r="L16" s="27">
        <v>0</v>
      </c>
      <c r="M16" s="27">
        <v>0</v>
      </c>
      <c r="N16" s="27">
        <v>291.32919</v>
      </c>
      <c r="O16" s="27">
        <v>167.770875</v>
      </c>
      <c r="P16" s="27">
        <v>290.17791</v>
      </c>
      <c r="Q16" s="27">
        <v>1.15128</v>
      </c>
      <c r="R16" s="27">
        <v>167.107875</v>
      </c>
      <c r="S16" s="27">
        <v>0.663</v>
      </c>
      <c r="T16" s="27">
        <v>0</v>
      </c>
      <c r="U16" s="27">
        <v>0</v>
      </c>
      <c r="V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H16" s="27">
        <v>0</v>
      </c>
      <c r="AI16" s="27">
        <v>0</v>
      </c>
      <c r="AJ16" s="27">
        <v>0</v>
      </c>
      <c r="AK16" s="27">
        <v>0</v>
      </c>
    </row>
    <row r="17" spans="1:37" ht="10.5">
      <c r="A17" s="27"/>
      <c r="B17" s="27">
        <f t="shared" si="0"/>
        <v>21928.41</v>
      </c>
      <c r="C17" s="27">
        <v>2713.07</v>
      </c>
      <c r="D17" s="27">
        <v>24.15</v>
      </c>
      <c r="E17" s="27">
        <v>17.51</v>
      </c>
      <c r="F17" s="27">
        <v>19191.19</v>
      </c>
      <c r="G17" s="27">
        <v>343.4686</v>
      </c>
      <c r="H17" s="27">
        <v>0</v>
      </c>
      <c r="I17" s="28">
        <v>310.42</v>
      </c>
      <c r="J17" s="28">
        <v>0</v>
      </c>
      <c r="K17" s="28">
        <v>1.73</v>
      </c>
      <c r="L17" s="27">
        <v>0</v>
      </c>
      <c r="M17" s="27">
        <v>0</v>
      </c>
      <c r="N17" s="27">
        <v>3022.75206</v>
      </c>
      <c r="O17" s="27">
        <v>1740.74475</v>
      </c>
      <c r="P17" s="27">
        <v>3003.36849</v>
      </c>
      <c r="Q17" s="27">
        <v>19.38357</v>
      </c>
      <c r="R17" s="27">
        <v>1729.582125</v>
      </c>
      <c r="S17" s="27">
        <v>11.162625</v>
      </c>
      <c r="T17" s="27">
        <v>0</v>
      </c>
      <c r="U17" s="27">
        <v>0</v>
      </c>
      <c r="V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H17" s="27">
        <v>0</v>
      </c>
      <c r="AI17" s="27">
        <v>0</v>
      </c>
      <c r="AJ17" s="27">
        <v>0</v>
      </c>
      <c r="AK17" s="27">
        <v>0</v>
      </c>
    </row>
    <row r="18" spans="1:37" ht="10.5">
      <c r="A18" s="27"/>
      <c r="B18" s="27">
        <f t="shared" si="0"/>
        <v>345.87</v>
      </c>
      <c r="C18" s="27">
        <v>226.53</v>
      </c>
      <c r="D18" s="27">
        <v>5.5</v>
      </c>
      <c r="E18" s="27">
        <v>1.38</v>
      </c>
      <c r="F18" s="27">
        <v>113.84</v>
      </c>
      <c r="G18" s="27">
        <v>101.224</v>
      </c>
      <c r="H18" s="27">
        <v>0</v>
      </c>
      <c r="I18" s="28">
        <v>23.82</v>
      </c>
      <c r="J18" s="28">
        <v>0</v>
      </c>
      <c r="K18" s="28">
        <v>0.11</v>
      </c>
      <c r="L18" s="27">
        <v>0</v>
      </c>
      <c r="M18" s="27">
        <v>0</v>
      </c>
      <c r="N18" s="27">
        <v>252.29637</v>
      </c>
      <c r="O18" s="27">
        <v>145.292625</v>
      </c>
      <c r="P18" s="27">
        <v>250.76871</v>
      </c>
      <c r="Q18" s="27">
        <v>1.52766</v>
      </c>
      <c r="R18" s="27">
        <v>144.412875</v>
      </c>
      <c r="S18" s="27">
        <v>0.87975</v>
      </c>
      <c r="T18" s="27">
        <v>0</v>
      </c>
      <c r="U18" s="27">
        <v>0</v>
      </c>
      <c r="V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H18" s="27">
        <v>0</v>
      </c>
      <c r="AI18" s="27">
        <v>0</v>
      </c>
      <c r="AJ18" s="27">
        <v>0</v>
      </c>
      <c r="AK18" s="27">
        <v>0</v>
      </c>
    </row>
  </sheetData>
  <sheetProtection/>
  <mergeCells count="4"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K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8" customWidth="1"/>
    <col min="2" max="16384" width="9.140625" style="27" customWidth="1"/>
  </cols>
  <sheetData>
    <row r="1" spans="1:37" s="29" customFormat="1" ht="10.5">
      <c r="A1" s="5"/>
      <c r="B1" s="29" t="s">
        <v>175</v>
      </c>
      <c r="C1" s="29" t="s">
        <v>176</v>
      </c>
      <c r="D1" s="29" t="s">
        <v>177</v>
      </c>
      <c r="E1" s="29" t="s">
        <v>178</v>
      </c>
      <c r="F1" s="29" t="s">
        <v>179</v>
      </c>
      <c r="G1" s="29" t="s">
        <v>180</v>
      </c>
      <c r="H1" s="29" t="s">
        <v>181</v>
      </c>
      <c r="I1" s="29" t="s">
        <v>182</v>
      </c>
      <c r="J1" s="29" t="s">
        <v>183</v>
      </c>
      <c r="K1" s="29" t="s">
        <v>184</v>
      </c>
      <c r="L1" s="29" t="s">
        <v>185</v>
      </c>
      <c r="M1" s="29" t="s">
        <v>186</v>
      </c>
      <c r="N1" s="29" t="s">
        <v>187</v>
      </c>
      <c r="O1" s="29" t="s">
        <v>188</v>
      </c>
      <c r="P1" s="29" t="s">
        <v>189</v>
      </c>
      <c r="Q1" s="29" t="s">
        <v>190</v>
      </c>
      <c r="R1" s="29" t="s">
        <v>191</v>
      </c>
      <c r="S1" s="29" t="s">
        <v>192</v>
      </c>
      <c r="T1" s="29" t="s">
        <v>193</v>
      </c>
      <c r="U1" s="29" t="s">
        <v>194</v>
      </c>
      <c r="V1" s="29" t="s">
        <v>195</v>
      </c>
      <c r="X1" s="29" t="s">
        <v>196</v>
      </c>
      <c r="Y1" s="29" t="s">
        <v>197</v>
      </c>
      <c r="Z1" s="29" t="s">
        <v>198</v>
      </c>
      <c r="AA1" s="29" t="s">
        <v>199</v>
      </c>
      <c r="AB1" s="29" t="s">
        <v>200</v>
      </c>
      <c r="AC1" s="29" t="s">
        <v>201</v>
      </c>
      <c r="AD1" s="29" t="s">
        <v>202</v>
      </c>
      <c r="AE1" s="29" t="s">
        <v>203</v>
      </c>
      <c r="AF1" s="29" t="s">
        <v>204</v>
      </c>
      <c r="AG1" s="29" t="s">
        <v>205</v>
      </c>
      <c r="AH1" s="29" t="s">
        <v>206</v>
      </c>
      <c r="AI1" s="29" t="s">
        <v>207</v>
      </c>
      <c r="AJ1" s="29" t="s">
        <v>208</v>
      </c>
      <c r="AK1" s="29" t="s">
        <v>209</v>
      </c>
    </row>
    <row r="2" spans="1:12" ht="10.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0.5">
      <c r="A3" s="30"/>
      <c r="B3" s="49" t="s">
        <v>210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0.5">
      <c r="A4" s="30"/>
      <c r="B4" s="49" t="s">
        <v>211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0.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7" spans="2:12" ht="10.5">
      <c r="B7" s="41" t="s">
        <v>24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2:12" ht="10.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37" ht="10.5">
      <c r="A9" s="27"/>
      <c r="B9" s="27">
        <f>ROUND(C9+D9+F9+AF9+AG9,2)</f>
        <v>29.41</v>
      </c>
      <c r="C9" s="27">
        <v>29.41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8">
        <v>3.77</v>
      </c>
      <c r="J9" s="28">
        <v>0</v>
      </c>
      <c r="K9" s="28">
        <v>0</v>
      </c>
      <c r="L9" s="27">
        <v>0</v>
      </c>
      <c r="M9" s="27">
        <v>0</v>
      </c>
      <c r="N9" s="27">
        <v>23.528</v>
      </c>
      <c r="O9" s="27">
        <v>19.9988</v>
      </c>
      <c r="P9" s="27">
        <v>23.528</v>
      </c>
      <c r="Q9" s="27">
        <v>0</v>
      </c>
      <c r="R9" s="27">
        <v>19.9988</v>
      </c>
      <c r="S9" s="27">
        <v>0</v>
      </c>
      <c r="T9" s="27">
        <v>0</v>
      </c>
      <c r="U9" s="27">
        <v>0</v>
      </c>
      <c r="V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H9" s="27">
        <v>0</v>
      </c>
      <c r="AI9" s="27">
        <v>0</v>
      </c>
      <c r="AJ9" s="27">
        <v>0</v>
      </c>
      <c r="AK9" s="27">
        <v>0</v>
      </c>
    </row>
    <row r="10" spans="1:37" ht="10.5">
      <c r="A10" s="27"/>
      <c r="B10" s="27">
        <f>ROUND(C10+D10+F10+AF10+AG10,2)</f>
        <v>92.9</v>
      </c>
      <c r="C10" s="27">
        <v>88.84</v>
      </c>
      <c r="D10" s="27">
        <v>4.06</v>
      </c>
      <c r="E10" s="27">
        <v>1.76</v>
      </c>
      <c r="F10" s="27">
        <v>0</v>
      </c>
      <c r="G10" s="27">
        <v>0</v>
      </c>
      <c r="H10" s="27">
        <v>0</v>
      </c>
      <c r="I10" s="28">
        <v>11.39</v>
      </c>
      <c r="J10" s="28">
        <v>0</v>
      </c>
      <c r="K10" s="28">
        <v>0.13</v>
      </c>
      <c r="L10" s="27">
        <v>0</v>
      </c>
      <c r="M10" s="27">
        <v>0</v>
      </c>
      <c r="N10" s="27">
        <v>72.48</v>
      </c>
      <c r="O10" s="27">
        <v>61.608</v>
      </c>
      <c r="P10" s="27">
        <v>71.072</v>
      </c>
      <c r="Q10" s="27">
        <v>1.408</v>
      </c>
      <c r="R10" s="27">
        <v>60.4112</v>
      </c>
      <c r="S10" s="27">
        <v>1.1968</v>
      </c>
      <c r="T10" s="27">
        <v>0</v>
      </c>
      <c r="U10" s="27">
        <v>0</v>
      </c>
      <c r="V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H10" s="27">
        <v>0</v>
      </c>
      <c r="AI10" s="27">
        <v>0</v>
      </c>
      <c r="AJ10" s="27">
        <v>0</v>
      </c>
      <c r="AK10" s="27">
        <v>0</v>
      </c>
    </row>
    <row r="11" spans="1:37" ht="10.5">
      <c r="A11" s="27"/>
      <c r="B11" s="27">
        <f>ROUND(C11+D11+F11+AF11+AG11,2)</f>
        <v>116.22</v>
      </c>
      <c r="C11" s="27">
        <v>116.22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8">
        <v>14.9</v>
      </c>
      <c r="J11" s="28">
        <v>0</v>
      </c>
      <c r="K11" s="28">
        <v>0</v>
      </c>
      <c r="L11" s="27">
        <v>0</v>
      </c>
      <c r="M11" s="27">
        <v>0</v>
      </c>
      <c r="N11" s="27">
        <v>92.976</v>
      </c>
      <c r="O11" s="27">
        <v>79.0296</v>
      </c>
      <c r="P11" s="27">
        <v>92.976</v>
      </c>
      <c r="Q11" s="27">
        <v>0</v>
      </c>
      <c r="R11" s="27">
        <v>79.0296</v>
      </c>
      <c r="S11" s="27">
        <v>0</v>
      </c>
      <c r="T11" s="27">
        <v>0</v>
      </c>
      <c r="U11" s="27">
        <v>0</v>
      </c>
      <c r="V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H11" s="27">
        <v>0</v>
      </c>
      <c r="AI11" s="27">
        <v>0</v>
      </c>
      <c r="AJ11" s="27">
        <v>0</v>
      </c>
      <c r="AK11" s="27">
        <v>0</v>
      </c>
    </row>
    <row r="12" spans="1:37" ht="10.5">
      <c r="A12" s="27"/>
      <c r="B12" s="27">
        <f>ROUND(C12+D12+F12+AF12+AG12,2)</f>
        <v>59.83</v>
      </c>
      <c r="C12" s="27">
        <v>59.83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8">
        <v>7.67</v>
      </c>
      <c r="J12" s="28">
        <v>0</v>
      </c>
      <c r="K12" s="28">
        <v>0</v>
      </c>
      <c r="L12" s="27">
        <v>0</v>
      </c>
      <c r="M12" s="27">
        <v>0</v>
      </c>
      <c r="N12" s="27">
        <v>47.864</v>
      </c>
      <c r="O12" s="27">
        <v>40.6844</v>
      </c>
      <c r="P12" s="27">
        <v>47.864</v>
      </c>
      <c r="Q12" s="27">
        <v>0</v>
      </c>
      <c r="R12" s="27">
        <v>40.6844</v>
      </c>
      <c r="S12" s="27">
        <v>0</v>
      </c>
      <c r="T12" s="27">
        <v>0</v>
      </c>
      <c r="U12" s="27">
        <v>0</v>
      </c>
      <c r="V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H12" s="27">
        <v>0</v>
      </c>
      <c r="AI12" s="27">
        <v>0</v>
      </c>
      <c r="AJ12" s="27">
        <v>0</v>
      </c>
      <c r="AK12" s="27">
        <v>0</v>
      </c>
    </row>
    <row r="14" spans="2:12" ht="10.5">
      <c r="B14" s="41" t="s">
        <v>123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2:12" ht="10.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37" ht="10.5">
      <c r="A16" s="27"/>
      <c r="B16" s="27">
        <f aca="true" t="shared" si="0" ref="B16:B24">ROUND(C16+D16+F16+AF16+AG16,2)</f>
        <v>239.4</v>
      </c>
      <c r="C16" s="27">
        <v>21.59</v>
      </c>
      <c r="D16" s="27">
        <v>37.41</v>
      </c>
      <c r="E16" s="27">
        <v>6.44</v>
      </c>
      <c r="F16" s="27">
        <v>180.4</v>
      </c>
      <c r="G16" s="27">
        <v>166.33</v>
      </c>
      <c r="H16" s="27">
        <v>0</v>
      </c>
      <c r="I16" s="28">
        <v>2.53</v>
      </c>
      <c r="J16" s="28">
        <v>0</v>
      </c>
      <c r="K16" s="28">
        <v>0.5625</v>
      </c>
      <c r="L16" s="27">
        <v>0</v>
      </c>
      <c r="M16" s="27">
        <v>0</v>
      </c>
      <c r="N16" s="27">
        <v>31.02921</v>
      </c>
      <c r="O16" s="27">
        <v>17.869125</v>
      </c>
      <c r="P16" s="27">
        <v>23.90013</v>
      </c>
      <c r="Q16" s="27">
        <v>7.12908</v>
      </c>
      <c r="R16" s="27">
        <v>13.763625</v>
      </c>
      <c r="S16" s="27">
        <v>4.1055</v>
      </c>
      <c r="T16" s="27">
        <v>0</v>
      </c>
      <c r="U16" s="27">
        <v>0</v>
      </c>
      <c r="V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H16" s="27">
        <v>0</v>
      </c>
      <c r="AI16" s="27">
        <v>0</v>
      </c>
      <c r="AJ16" s="27">
        <v>0</v>
      </c>
      <c r="AK16" s="27">
        <v>0</v>
      </c>
    </row>
    <row r="17" spans="1:37" ht="10.5">
      <c r="A17" s="27"/>
      <c r="B17" s="27">
        <f t="shared" si="0"/>
        <v>134.61</v>
      </c>
      <c r="C17" s="27">
        <v>33.88</v>
      </c>
      <c r="D17" s="27">
        <v>34.05</v>
      </c>
      <c r="E17" s="27">
        <v>3.76</v>
      </c>
      <c r="F17" s="27">
        <v>66.68</v>
      </c>
      <c r="G17" s="27">
        <v>30.29</v>
      </c>
      <c r="H17" s="27">
        <v>0</v>
      </c>
      <c r="I17" s="28">
        <v>3.9215</v>
      </c>
      <c r="J17" s="28">
        <v>0</v>
      </c>
      <c r="K17" s="28">
        <v>0.375</v>
      </c>
      <c r="L17" s="27">
        <v>0</v>
      </c>
      <c r="M17" s="27">
        <v>0</v>
      </c>
      <c r="N17" s="27">
        <v>41.66748</v>
      </c>
      <c r="O17" s="27">
        <v>23.9955</v>
      </c>
      <c r="P17" s="27">
        <v>37.50516</v>
      </c>
      <c r="Q17" s="27">
        <v>4.16232</v>
      </c>
      <c r="R17" s="27">
        <v>21.5985</v>
      </c>
      <c r="S17" s="27">
        <v>2.397</v>
      </c>
      <c r="T17" s="27">
        <v>0</v>
      </c>
      <c r="U17" s="27">
        <v>0</v>
      </c>
      <c r="V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H17" s="27">
        <v>0</v>
      </c>
      <c r="AI17" s="27">
        <v>0</v>
      </c>
      <c r="AJ17" s="27">
        <v>0</v>
      </c>
      <c r="AK17" s="27">
        <v>0</v>
      </c>
    </row>
    <row r="18" spans="1:37" ht="10.5">
      <c r="A18" s="27"/>
      <c r="B18" s="27">
        <f t="shared" si="0"/>
        <v>1228.44</v>
      </c>
      <c r="C18" s="27">
        <v>339.31</v>
      </c>
      <c r="D18" s="27">
        <v>196.51</v>
      </c>
      <c r="E18" s="27">
        <v>6.66</v>
      </c>
      <c r="F18" s="27">
        <v>692.62</v>
      </c>
      <c r="G18" s="27">
        <v>0</v>
      </c>
      <c r="H18" s="27">
        <v>0</v>
      </c>
      <c r="I18" s="28">
        <v>31.0155</v>
      </c>
      <c r="J18" s="28">
        <v>0</v>
      </c>
      <c r="K18" s="28">
        <v>0.5375</v>
      </c>
      <c r="L18" s="27">
        <v>0</v>
      </c>
      <c r="M18" s="27">
        <v>0</v>
      </c>
      <c r="N18" s="27">
        <v>382.98879</v>
      </c>
      <c r="O18" s="27">
        <v>220.555875</v>
      </c>
      <c r="P18" s="27">
        <v>375.61617</v>
      </c>
      <c r="Q18" s="27">
        <v>7.37262</v>
      </c>
      <c r="R18" s="27">
        <v>216.310125</v>
      </c>
      <c r="S18" s="27">
        <v>4.24575</v>
      </c>
      <c r="T18" s="27">
        <v>0</v>
      </c>
      <c r="U18" s="27">
        <v>0</v>
      </c>
      <c r="V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H18" s="27">
        <v>0</v>
      </c>
      <c r="AI18" s="27">
        <v>0</v>
      </c>
      <c r="AJ18" s="27">
        <v>0</v>
      </c>
      <c r="AK18" s="27">
        <v>0</v>
      </c>
    </row>
    <row r="19" spans="1:37" ht="10.5">
      <c r="A19" s="27"/>
      <c r="B19" s="27">
        <f t="shared" si="0"/>
        <v>1906.14</v>
      </c>
      <c r="C19" s="27">
        <v>364.63</v>
      </c>
      <c r="D19" s="27">
        <v>52.56</v>
      </c>
      <c r="E19" s="27">
        <v>21.44</v>
      </c>
      <c r="F19" s="27">
        <v>1488.95</v>
      </c>
      <c r="G19" s="27">
        <v>1317.33</v>
      </c>
      <c r="H19" s="27">
        <v>0</v>
      </c>
      <c r="I19" s="28">
        <v>46.7475</v>
      </c>
      <c r="J19" s="28">
        <v>0</v>
      </c>
      <c r="K19" s="28">
        <v>1.5875</v>
      </c>
      <c r="L19" s="27">
        <v>0</v>
      </c>
      <c r="M19" s="27">
        <v>0</v>
      </c>
      <c r="N19" s="27">
        <v>427.37949</v>
      </c>
      <c r="O19" s="27">
        <v>246.119625</v>
      </c>
      <c r="P19" s="27">
        <v>403.64541</v>
      </c>
      <c r="Q19" s="27">
        <v>23.73408</v>
      </c>
      <c r="R19" s="27">
        <v>232.451625</v>
      </c>
      <c r="S19" s="27">
        <v>13.668</v>
      </c>
      <c r="T19" s="27">
        <v>0</v>
      </c>
      <c r="U19" s="27">
        <v>0</v>
      </c>
      <c r="V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H19" s="27">
        <v>0</v>
      </c>
      <c r="AI19" s="27">
        <v>0</v>
      </c>
      <c r="AJ19" s="27">
        <v>0</v>
      </c>
      <c r="AK19" s="27">
        <v>0</v>
      </c>
    </row>
    <row r="20" spans="1:37" ht="10.5">
      <c r="A20" s="27"/>
      <c r="B20" s="27">
        <f t="shared" si="0"/>
        <v>768.47</v>
      </c>
      <c r="C20" s="27">
        <v>8.97</v>
      </c>
      <c r="D20" s="27">
        <v>19.3</v>
      </c>
      <c r="E20" s="27">
        <v>7.1</v>
      </c>
      <c r="F20" s="27">
        <v>740.2</v>
      </c>
      <c r="G20" s="27">
        <v>658.67</v>
      </c>
      <c r="H20" s="27">
        <v>0</v>
      </c>
      <c r="I20" s="28">
        <v>1.15</v>
      </c>
      <c r="J20" s="28">
        <v>0</v>
      </c>
      <c r="K20" s="28">
        <v>0.525</v>
      </c>
      <c r="L20" s="27">
        <v>0</v>
      </c>
      <c r="M20" s="27">
        <v>0</v>
      </c>
      <c r="N20" s="27">
        <v>17.78949</v>
      </c>
      <c r="O20" s="27">
        <v>10.244625</v>
      </c>
      <c r="P20" s="27">
        <v>9.92979</v>
      </c>
      <c r="Q20" s="27">
        <v>7.8597</v>
      </c>
      <c r="R20" s="27">
        <v>5.718375</v>
      </c>
      <c r="S20" s="27">
        <v>4.52625</v>
      </c>
      <c r="T20" s="27">
        <v>0</v>
      </c>
      <c r="U20" s="27">
        <v>0</v>
      </c>
      <c r="V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H20" s="27">
        <v>0</v>
      </c>
      <c r="AI20" s="27">
        <v>0</v>
      </c>
      <c r="AJ20" s="27">
        <v>0</v>
      </c>
      <c r="AK20" s="27">
        <v>0</v>
      </c>
    </row>
    <row r="21" spans="1:37" ht="10.5">
      <c r="A21" s="27"/>
      <c r="B21" s="27">
        <f t="shared" si="0"/>
        <v>6104.87</v>
      </c>
      <c r="C21" s="27">
        <v>128.79</v>
      </c>
      <c r="D21" s="27">
        <v>40.48</v>
      </c>
      <c r="E21" s="27">
        <v>5.89</v>
      </c>
      <c r="F21" s="27">
        <v>5935.6</v>
      </c>
      <c r="G21" s="27">
        <v>5505.05</v>
      </c>
      <c r="H21" s="27">
        <v>0</v>
      </c>
      <c r="I21" s="28">
        <v>14.536</v>
      </c>
      <c r="J21" s="28">
        <v>0</v>
      </c>
      <c r="K21" s="28">
        <v>0.475</v>
      </c>
      <c r="L21" s="27">
        <v>0</v>
      </c>
      <c r="M21" s="27">
        <v>0</v>
      </c>
      <c r="N21" s="27">
        <v>127.2726</v>
      </c>
      <c r="O21" s="27">
        <v>74.4107</v>
      </c>
      <c r="P21" s="27">
        <v>121.70655</v>
      </c>
      <c r="Q21" s="27">
        <v>5.56605</v>
      </c>
      <c r="R21" s="27">
        <v>71.156475</v>
      </c>
      <c r="S21" s="27">
        <v>3.254225</v>
      </c>
      <c r="T21" s="27">
        <v>0</v>
      </c>
      <c r="U21" s="27">
        <v>0</v>
      </c>
      <c r="V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H21" s="27">
        <v>0</v>
      </c>
      <c r="AI21" s="27">
        <v>0</v>
      </c>
      <c r="AJ21" s="27">
        <v>0</v>
      </c>
      <c r="AK21" s="27">
        <v>0</v>
      </c>
    </row>
    <row r="22" spans="1:37" ht="10.5">
      <c r="A22" s="27"/>
      <c r="B22" s="27">
        <f t="shared" si="0"/>
        <v>6022.1</v>
      </c>
      <c r="C22" s="27">
        <v>301.45</v>
      </c>
      <c r="D22" s="27">
        <v>4.06</v>
      </c>
      <c r="E22" s="27">
        <v>1.3</v>
      </c>
      <c r="F22" s="27">
        <v>5716.59</v>
      </c>
      <c r="G22" s="27">
        <v>0</v>
      </c>
      <c r="H22" s="27">
        <v>0</v>
      </c>
      <c r="I22" s="28">
        <v>35.3395</v>
      </c>
      <c r="J22" s="28">
        <v>0</v>
      </c>
      <c r="K22" s="28">
        <v>0.1125</v>
      </c>
      <c r="L22" s="27">
        <v>0</v>
      </c>
      <c r="M22" s="27">
        <v>0</v>
      </c>
      <c r="N22" s="27">
        <v>335.14425</v>
      </c>
      <c r="O22" s="27">
        <v>193.003125</v>
      </c>
      <c r="P22" s="27">
        <v>333.70515</v>
      </c>
      <c r="Q22" s="27">
        <v>1.4391</v>
      </c>
      <c r="R22" s="27">
        <v>192.174375</v>
      </c>
      <c r="S22" s="27">
        <v>0.82875</v>
      </c>
      <c r="T22" s="27">
        <v>0</v>
      </c>
      <c r="U22" s="27">
        <v>0</v>
      </c>
      <c r="V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H22" s="27">
        <v>0</v>
      </c>
      <c r="AI22" s="27">
        <v>0</v>
      </c>
      <c r="AJ22" s="27">
        <v>0</v>
      </c>
      <c r="AK22" s="27">
        <v>0</v>
      </c>
    </row>
    <row r="23" spans="1:37" ht="10.5">
      <c r="A23" s="27"/>
      <c r="B23" s="27">
        <f t="shared" si="0"/>
        <v>22341.41</v>
      </c>
      <c r="C23" s="27">
        <v>3120.03</v>
      </c>
      <c r="D23" s="27">
        <v>30.19</v>
      </c>
      <c r="E23" s="27">
        <v>21.89</v>
      </c>
      <c r="F23" s="27">
        <v>19191.19</v>
      </c>
      <c r="G23" s="27">
        <v>343.47</v>
      </c>
      <c r="H23" s="27">
        <v>0</v>
      </c>
      <c r="I23" s="28">
        <v>356.983</v>
      </c>
      <c r="J23" s="28">
        <v>0</v>
      </c>
      <c r="K23" s="28">
        <v>2.1625</v>
      </c>
      <c r="L23" s="27">
        <v>0</v>
      </c>
      <c r="M23" s="27">
        <v>0</v>
      </c>
      <c r="N23" s="27">
        <v>3478.10544</v>
      </c>
      <c r="O23" s="27">
        <v>2002.974</v>
      </c>
      <c r="P23" s="27">
        <v>3453.87321</v>
      </c>
      <c r="Q23" s="27">
        <v>24.23223</v>
      </c>
      <c r="R23" s="27">
        <v>1989.019125</v>
      </c>
      <c r="S23" s="27">
        <v>13.954875</v>
      </c>
      <c r="T23" s="27">
        <v>0</v>
      </c>
      <c r="U23" s="27">
        <v>0</v>
      </c>
      <c r="V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H23" s="27">
        <v>0</v>
      </c>
      <c r="AI23" s="27">
        <v>0</v>
      </c>
      <c r="AJ23" s="27">
        <v>0</v>
      </c>
      <c r="AK23" s="27">
        <v>0</v>
      </c>
    </row>
    <row r="24" spans="1:37" ht="10.5">
      <c r="A24" s="27"/>
      <c r="B24" s="27">
        <f t="shared" si="0"/>
        <v>381.23</v>
      </c>
      <c r="C24" s="27">
        <v>260.51</v>
      </c>
      <c r="D24" s="27">
        <v>6.88</v>
      </c>
      <c r="E24" s="27">
        <v>1.73</v>
      </c>
      <c r="F24" s="27">
        <v>113.84</v>
      </c>
      <c r="G24" s="27">
        <v>101.22</v>
      </c>
      <c r="H24" s="27">
        <v>0</v>
      </c>
      <c r="I24" s="28">
        <v>27.393</v>
      </c>
      <c r="J24" s="28">
        <v>0</v>
      </c>
      <c r="K24" s="28">
        <v>0.1375</v>
      </c>
      <c r="L24" s="27">
        <v>0</v>
      </c>
      <c r="M24" s="27">
        <v>0</v>
      </c>
      <c r="N24" s="27">
        <v>290.29968</v>
      </c>
      <c r="O24" s="27">
        <v>167.178</v>
      </c>
      <c r="P24" s="27">
        <v>288.38457</v>
      </c>
      <c r="Q24" s="27">
        <v>1.91511</v>
      </c>
      <c r="R24" s="27">
        <v>166.075125</v>
      </c>
      <c r="S24" s="27">
        <v>1.102875</v>
      </c>
      <c r="T24" s="27">
        <v>0</v>
      </c>
      <c r="U24" s="27">
        <v>0</v>
      </c>
      <c r="V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H24" s="27">
        <v>0</v>
      </c>
      <c r="AI24" s="27">
        <v>0</v>
      </c>
      <c r="AJ24" s="27">
        <v>0</v>
      </c>
      <c r="AK24" s="27">
        <v>0</v>
      </c>
    </row>
  </sheetData>
  <sheetProtection/>
  <mergeCells count="6">
    <mergeCell ref="B7:L8"/>
    <mergeCell ref="B14:L15"/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K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8" customWidth="1"/>
    <col min="2" max="16384" width="9.140625" style="27" customWidth="1"/>
  </cols>
  <sheetData>
    <row r="1" spans="1:37" s="29" customFormat="1" ht="10.5">
      <c r="A1" s="5"/>
      <c r="B1" s="29" t="s">
        <v>175</v>
      </c>
      <c r="C1" s="29" t="s">
        <v>176</v>
      </c>
      <c r="D1" s="29" t="s">
        <v>177</v>
      </c>
      <c r="E1" s="29" t="s">
        <v>178</v>
      </c>
      <c r="F1" s="29" t="s">
        <v>179</v>
      </c>
      <c r="G1" s="29" t="s">
        <v>180</v>
      </c>
      <c r="H1" s="29" t="s">
        <v>181</v>
      </c>
      <c r="I1" s="29" t="s">
        <v>182</v>
      </c>
      <c r="J1" s="29" t="s">
        <v>183</v>
      </c>
      <c r="K1" s="29" t="s">
        <v>184</v>
      </c>
      <c r="L1" s="29" t="s">
        <v>185</v>
      </c>
      <c r="M1" s="29" t="s">
        <v>186</v>
      </c>
      <c r="N1" s="29" t="s">
        <v>187</v>
      </c>
      <c r="O1" s="29" t="s">
        <v>188</v>
      </c>
      <c r="P1" s="29" t="s">
        <v>189</v>
      </c>
      <c r="Q1" s="29" t="s">
        <v>190</v>
      </c>
      <c r="R1" s="29" t="s">
        <v>191</v>
      </c>
      <c r="S1" s="29" t="s">
        <v>192</v>
      </c>
      <c r="T1" s="29" t="s">
        <v>193</v>
      </c>
      <c r="U1" s="29" t="s">
        <v>194</v>
      </c>
      <c r="V1" s="29" t="s">
        <v>195</v>
      </c>
      <c r="X1" s="29" t="s">
        <v>196</v>
      </c>
      <c r="Y1" s="29" t="s">
        <v>197</v>
      </c>
      <c r="Z1" s="29" t="s">
        <v>198</v>
      </c>
      <c r="AA1" s="29" t="s">
        <v>199</v>
      </c>
      <c r="AB1" s="29" t="s">
        <v>200</v>
      </c>
      <c r="AC1" s="29" t="s">
        <v>201</v>
      </c>
      <c r="AD1" s="29" t="s">
        <v>202</v>
      </c>
      <c r="AE1" s="29" t="s">
        <v>203</v>
      </c>
      <c r="AF1" s="29" t="s">
        <v>204</v>
      </c>
      <c r="AG1" s="29" t="s">
        <v>205</v>
      </c>
      <c r="AH1" s="29" t="s">
        <v>206</v>
      </c>
      <c r="AI1" s="29" t="s">
        <v>207</v>
      </c>
      <c r="AJ1" s="29" t="s">
        <v>208</v>
      </c>
      <c r="AK1" s="29" t="s">
        <v>209</v>
      </c>
    </row>
    <row r="2" spans="1:12" ht="10.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0.5">
      <c r="A3" s="30"/>
      <c r="B3" s="49" t="s">
        <v>210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0.5">
      <c r="A4" s="30"/>
      <c r="B4" s="49" t="s">
        <v>211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0.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7" spans="2:12" ht="10.5">
      <c r="B7" s="41" t="s">
        <v>24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2:12" ht="10.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37" ht="10.5">
      <c r="A9" s="27"/>
      <c r="B9" s="27">
        <f>ROUND(C9+D9+F9+AF9+AG9,2)</f>
        <v>771.13</v>
      </c>
      <c r="C9" s="27">
        <v>771.13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8">
        <v>3.77</v>
      </c>
      <c r="J9" s="28">
        <v>0</v>
      </c>
      <c r="K9" s="28">
        <v>0</v>
      </c>
      <c r="L9" s="27">
        <v>0</v>
      </c>
      <c r="M9" s="27">
        <v>0</v>
      </c>
      <c r="N9" s="27">
        <v>616.904</v>
      </c>
      <c r="O9" s="27">
        <v>524.3684</v>
      </c>
      <c r="P9" s="27">
        <v>616.904</v>
      </c>
      <c r="Q9" s="27">
        <v>0</v>
      </c>
      <c r="R9" s="27">
        <v>524.3684</v>
      </c>
      <c r="S9" s="27">
        <v>0</v>
      </c>
      <c r="T9" s="27">
        <v>0</v>
      </c>
      <c r="U9" s="27">
        <v>0</v>
      </c>
      <c r="V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H9" s="27">
        <v>0</v>
      </c>
      <c r="AI9" s="27">
        <v>0</v>
      </c>
      <c r="AJ9" s="27">
        <v>0</v>
      </c>
      <c r="AK9" s="27">
        <v>0</v>
      </c>
    </row>
    <row r="10" spans="1:37" ht="10.5">
      <c r="A10" s="27"/>
      <c r="B10" s="27">
        <f>ROUND(C10+D10+F10+AF10+AG10,2)</f>
        <v>2380.25</v>
      </c>
      <c r="C10" s="27">
        <v>2329.38</v>
      </c>
      <c r="D10" s="27">
        <v>50.87</v>
      </c>
      <c r="E10" s="27">
        <v>46.15</v>
      </c>
      <c r="F10" s="27">
        <v>0</v>
      </c>
      <c r="G10" s="27">
        <v>0</v>
      </c>
      <c r="H10" s="27">
        <v>0</v>
      </c>
      <c r="I10" s="28">
        <v>11.39</v>
      </c>
      <c r="J10" s="28">
        <v>0</v>
      </c>
      <c r="K10" s="28">
        <v>0.13</v>
      </c>
      <c r="L10" s="27">
        <v>0</v>
      </c>
      <c r="M10" s="27">
        <v>0</v>
      </c>
      <c r="N10" s="27">
        <v>1900.424</v>
      </c>
      <c r="O10" s="27">
        <v>1615.3604</v>
      </c>
      <c r="P10" s="27">
        <v>1863.504</v>
      </c>
      <c r="Q10" s="27">
        <v>36.92</v>
      </c>
      <c r="R10" s="27">
        <v>1583.9784</v>
      </c>
      <c r="S10" s="27">
        <v>31.382</v>
      </c>
      <c r="T10" s="27">
        <v>0</v>
      </c>
      <c r="U10" s="27">
        <v>0</v>
      </c>
      <c r="V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H10" s="27">
        <v>0</v>
      </c>
      <c r="AI10" s="27">
        <v>0</v>
      </c>
      <c r="AJ10" s="27">
        <v>0</v>
      </c>
      <c r="AK10" s="27">
        <v>0</v>
      </c>
    </row>
    <row r="11" spans="1:37" ht="10.5">
      <c r="A11" s="27"/>
      <c r="B11" s="27">
        <f>ROUND(C11+D11+F11+AF11+AG11,2)</f>
        <v>3047.29</v>
      </c>
      <c r="C11" s="27">
        <v>3047.29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8">
        <v>14.9</v>
      </c>
      <c r="J11" s="28">
        <v>0</v>
      </c>
      <c r="K11" s="28">
        <v>0</v>
      </c>
      <c r="L11" s="27">
        <v>0</v>
      </c>
      <c r="M11" s="27">
        <v>0</v>
      </c>
      <c r="N11" s="27">
        <v>2437.832</v>
      </c>
      <c r="O11" s="27">
        <v>2072.1572</v>
      </c>
      <c r="P11" s="27">
        <v>2437.832</v>
      </c>
      <c r="Q11" s="27">
        <v>0</v>
      </c>
      <c r="R11" s="27">
        <v>2072.1572</v>
      </c>
      <c r="S11" s="27">
        <v>0</v>
      </c>
      <c r="T11" s="27">
        <v>0</v>
      </c>
      <c r="U11" s="27">
        <v>0</v>
      </c>
      <c r="V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H11" s="27">
        <v>0</v>
      </c>
      <c r="AI11" s="27">
        <v>0</v>
      </c>
      <c r="AJ11" s="27">
        <v>0</v>
      </c>
      <c r="AK11" s="27">
        <v>0</v>
      </c>
    </row>
    <row r="12" spans="1:37" ht="10.5">
      <c r="A12" s="27"/>
      <c r="B12" s="27">
        <f>ROUND(C12+D12+F12+AF12+AG12,2)</f>
        <v>1568.74</v>
      </c>
      <c r="C12" s="27">
        <v>1568.74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8">
        <v>7.67</v>
      </c>
      <c r="J12" s="28">
        <v>0</v>
      </c>
      <c r="K12" s="28">
        <v>0</v>
      </c>
      <c r="L12" s="27">
        <v>0</v>
      </c>
      <c r="M12" s="27">
        <v>0</v>
      </c>
      <c r="N12" s="27">
        <v>1254.992</v>
      </c>
      <c r="O12" s="27">
        <v>1066.7432</v>
      </c>
      <c r="P12" s="27">
        <v>1254.992</v>
      </c>
      <c r="Q12" s="27">
        <v>0</v>
      </c>
      <c r="R12" s="27">
        <v>1066.7432</v>
      </c>
      <c r="S12" s="27">
        <v>0</v>
      </c>
      <c r="T12" s="27">
        <v>0</v>
      </c>
      <c r="U12" s="27">
        <v>0</v>
      </c>
      <c r="V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H12" s="27">
        <v>0</v>
      </c>
      <c r="AI12" s="27">
        <v>0</v>
      </c>
      <c r="AJ12" s="27">
        <v>0</v>
      </c>
      <c r="AK12" s="27">
        <v>0</v>
      </c>
    </row>
    <row r="14" spans="2:12" ht="10.5">
      <c r="B14" s="41" t="s">
        <v>123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2:12" ht="10.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37" ht="10.5">
      <c r="A16" s="27"/>
      <c r="B16" s="27">
        <f aca="true" t="shared" si="0" ref="B16:B24">ROUND(C16+D16+F16+AF16+AG16,2)</f>
        <v>1019.48</v>
      </c>
      <c r="C16" s="27">
        <v>565.97</v>
      </c>
      <c r="D16" s="27">
        <v>273.11</v>
      </c>
      <c r="E16" s="27">
        <v>168.79</v>
      </c>
      <c r="F16" s="27">
        <v>180.4</v>
      </c>
      <c r="G16" s="27">
        <v>166.33</v>
      </c>
      <c r="H16" s="27">
        <v>0</v>
      </c>
      <c r="I16" s="28">
        <v>2.53</v>
      </c>
      <c r="J16" s="28">
        <v>0</v>
      </c>
      <c r="K16" s="28">
        <v>0.5625</v>
      </c>
      <c r="L16" s="27">
        <v>0</v>
      </c>
      <c r="M16" s="27">
        <v>0</v>
      </c>
      <c r="N16" s="27">
        <v>813.37932</v>
      </c>
      <c r="O16" s="27">
        <v>468.4095</v>
      </c>
      <c r="P16" s="27">
        <v>626.52879</v>
      </c>
      <c r="Q16" s="27">
        <v>186.85053</v>
      </c>
      <c r="R16" s="27">
        <v>360.805875</v>
      </c>
      <c r="S16" s="27">
        <v>107.603625</v>
      </c>
      <c r="T16" s="27">
        <v>0</v>
      </c>
      <c r="U16" s="27">
        <v>0</v>
      </c>
      <c r="V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H16" s="27">
        <v>0</v>
      </c>
      <c r="AI16" s="27">
        <v>0</v>
      </c>
      <c r="AJ16" s="27">
        <v>0</v>
      </c>
      <c r="AK16" s="27">
        <v>0</v>
      </c>
    </row>
    <row r="17" spans="1:37" ht="10.5">
      <c r="A17" s="27"/>
      <c r="B17" s="27">
        <f t="shared" si="0"/>
        <v>1683.06</v>
      </c>
      <c r="C17" s="27">
        <v>888.31</v>
      </c>
      <c r="D17" s="27">
        <v>235.29</v>
      </c>
      <c r="E17" s="27">
        <v>98.65</v>
      </c>
      <c r="F17" s="27">
        <v>559.46</v>
      </c>
      <c r="G17" s="27">
        <v>254.12</v>
      </c>
      <c r="H17" s="27">
        <v>0</v>
      </c>
      <c r="I17" s="28">
        <v>3.9215</v>
      </c>
      <c r="J17" s="28">
        <v>0</v>
      </c>
      <c r="K17" s="28">
        <v>0.375</v>
      </c>
      <c r="L17" s="27">
        <v>0</v>
      </c>
      <c r="M17" s="27">
        <v>0</v>
      </c>
      <c r="N17" s="27">
        <v>1092.56472</v>
      </c>
      <c r="O17" s="27">
        <v>629.187</v>
      </c>
      <c r="P17" s="27">
        <v>983.35917</v>
      </c>
      <c r="Q17" s="27">
        <v>109.20555</v>
      </c>
      <c r="R17" s="27">
        <v>566.297625</v>
      </c>
      <c r="S17" s="27">
        <v>62.889375</v>
      </c>
      <c r="T17" s="27">
        <v>0</v>
      </c>
      <c r="U17" s="27">
        <v>0</v>
      </c>
      <c r="V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H17" s="27">
        <v>0</v>
      </c>
      <c r="AI17" s="27">
        <v>0</v>
      </c>
      <c r="AJ17" s="27">
        <v>0</v>
      </c>
      <c r="AK17" s="27">
        <v>0</v>
      </c>
    </row>
    <row r="18" spans="1:37" ht="10.5">
      <c r="A18" s="27"/>
      <c r="B18" s="27">
        <f t="shared" si="0"/>
        <v>18062.52</v>
      </c>
      <c r="C18" s="27">
        <v>8896.64</v>
      </c>
      <c r="D18" s="27">
        <v>909.85</v>
      </c>
      <c r="E18" s="27">
        <v>174.69</v>
      </c>
      <c r="F18" s="27">
        <v>8256.03</v>
      </c>
      <c r="G18" s="27">
        <v>0</v>
      </c>
      <c r="H18" s="27">
        <v>0</v>
      </c>
      <c r="I18" s="28">
        <v>31.0155</v>
      </c>
      <c r="J18" s="28">
        <v>0</v>
      </c>
      <c r="K18" s="28">
        <v>0.5375</v>
      </c>
      <c r="L18" s="27">
        <v>0</v>
      </c>
      <c r="M18" s="27">
        <v>0</v>
      </c>
      <c r="N18" s="27">
        <v>10041.96231</v>
      </c>
      <c r="O18" s="27">
        <v>5782.972875</v>
      </c>
      <c r="P18" s="27">
        <v>9848.58048</v>
      </c>
      <c r="Q18" s="27">
        <v>193.38183</v>
      </c>
      <c r="R18" s="27">
        <v>5671.608</v>
      </c>
      <c r="S18" s="27">
        <v>111.364875</v>
      </c>
      <c r="T18" s="27">
        <v>0</v>
      </c>
      <c r="U18" s="27">
        <v>0</v>
      </c>
      <c r="V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H18" s="27">
        <v>0</v>
      </c>
      <c r="AI18" s="27">
        <v>0</v>
      </c>
      <c r="AJ18" s="27">
        <v>0</v>
      </c>
      <c r="AK18" s="27">
        <v>0</v>
      </c>
    </row>
    <row r="19" spans="1:37" ht="10.5">
      <c r="A19" s="27"/>
      <c r="B19" s="27">
        <f t="shared" si="0"/>
        <v>22686.78</v>
      </c>
      <c r="C19" s="27">
        <v>9560.61</v>
      </c>
      <c r="D19" s="27">
        <v>633.9</v>
      </c>
      <c r="E19" s="27">
        <v>562.09</v>
      </c>
      <c r="F19" s="27">
        <v>12492.27</v>
      </c>
      <c r="G19" s="27">
        <v>11052.4</v>
      </c>
      <c r="H19" s="27">
        <v>0</v>
      </c>
      <c r="I19" s="28">
        <v>46.7475</v>
      </c>
      <c r="J19" s="28">
        <v>0</v>
      </c>
      <c r="K19" s="28">
        <v>1.5875</v>
      </c>
      <c r="L19" s="27">
        <v>0</v>
      </c>
      <c r="M19" s="27">
        <v>0</v>
      </c>
      <c r="N19" s="27">
        <v>11205.8289</v>
      </c>
      <c r="O19" s="27">
        <v>6453.22125</v>
      </c>
      <c r="P19" s="27">
        <v>10583.59527</v>
      </c>
      <c r="Q19" s="27">
        <v>622.23363</v>
      </c>
      <c r="R19" s="27">
        <v>6094.888875</v>
      </c>
      <c r="S19" s="27">
        <v>358.332375</v>
      </c>
      <c r="T19" s="27">
        <v>0</v>
      </c>
      <c r="U19" s="27">
        <v>0</v>
      </c>
      <c r="V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H19" s="27">
        <v>0</v>
      </c>
      <c r="AI19" s="27">
        <v>0</v>
      </c>
      <c r="AJ19" s="27">
        <v>0</v>
      </c>
      <c r="AK19" s="27">
        <v>0</v>
      </c>
    </row>
    <row r="20" spans="1:37" ht="10.5">
      <c r="A20" s="27"/>
      <c r="B20" s="27">
        <f t="shared" si="0"/>
        <v>1193.09</v>
      </c>
      <c r="C20" s="27">
        <v>235.19</v>
      </c>
      <c r="D20" s="27">
        <v>217.7</v>
      </c>
      <c r="E20" s="27">
        <v>186.16</v>
      </c>
      <c r="F20" s="27">
        <v>740.2</v>
      </c>
      <c r="G20" s="27">
        <v>658.67</v>
      </c>
      <c r="H20" s="27">
        <v>0</v>
      </c>
      <c r="I20" s="28">
        <v>1.15</v>
      </c>
      <c r="J20" s="28">
        <v>0</v>
      </c>
      <c r="K20" s="28">
        <v>0.525</v>
      </c>
      <c r="L20" s="27">
        <v>0</v>
      </c>
      <c r="M20" s="27">
        <v>0</v>
      </c>
      <c r="N20" s="27">
        <v>466.43445</v>
      </c>
      <c r="O20" s="27">
        <v>268.610625</v>
      </c>
      <c r="P20" s="27">
        <v>260.35533</v>
      </c>
      <c r="Q20" s="27">
        <v>206.07912</v>
      </c>
      <c r="R20" s="27">
        <v>149.933625</v>
      </c>
      <c r="S20" s="27">
        <v>118.677</v>
      </c>
      <c r="T20" s="27">
        <v>0</v>
      </c>
      <c r="U20" s="27">
        <v>0</v>
      </c>
      <c r="V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H20" s="27">
        <v>0</v>
      </c>
      <c r="AI20" s="27">
        <v>0</v>
      </c>
      <c r="AJ20" s="27">
        <v>0</v>
      </c>
      <c r="AK20" s="27">
        <v>0</v>
      </c>
    </row>
    <row r="21" spans="1:37" ht="10.5">
      <c r="A21" s="27"/>
      <c r="B21" s="27">
        <f t="shared" si="0"/>
        <v>33773.63</v>
      </c>
      <c r="C21" s="27">
        <v>3376.83</v>
      </c>
      <c r="D21" s="27">
        <v>362.66</v>
      </c>
      <c r="E21" s="27">
        <v>154.37</v>
      </c>
      <c r="F21" s="27">
        <v>30034.14</v>
      </c>
      <c r="G21" s="27">
        <v>27855.55</v>
      </c>
      <c r="H21" s="27">
        <v>0</v>
      </c>
      <c r="I21" s="28">
        <v>14.536</v>
      </c>
      <c r="J21" s="28">
        <v>0</v>
      </c>
      <c r="K21" s="28">
        <v>0.475</v>
      </c>
      <c r="L21" s="27">
        <v>0</v>
      </c>
      <c r="M21" s="27">
        <v>0</v>
      </c>
      <c r="N21" s="27">
        <v>3336.984</v>
      </c>
      <c r="O21" s="27">
        <v>1950.988</v>
      </c>
      <c r="P21" s="27">
        <v>3191.10435</v>
      </c>
      <c r="Q21" s="27">
        <v>145.87965</v>
      </c>
      <c r="R21" s="27">
        <v>1865.698575</v>
      </c>
      <c r="S21" s="27">
        <v>85.289425</v>
      </c>
      <c r="T21" s="27">
        <v>0</v>
      </c>
      <c r="U21" s="27">
        <v>0</v>
      </c>
      <c r="V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H21" s="27">
        <v>0</v>
      </c>
      <c r="AI21" s="27">
        <v>0</v>
      </c>
      <c r="AJ21" s="27">
        <v>0</v>
      </c>
      <c r="AK21" s="27">
        <v>0</v>
      </c>
    </row>
    <row r="22" spans="1:37" ht="10.5">
      <c r="A22" s="27"/>
      <c r="B22" s="27">
        <f t="shared" si="0"/>
        <v>25158.28</v>
      </c>
      <c r="C22" s="27">
        <v>7904.01</v>
      </c>
      <c r="D22" s="27">
        <v>47.33</v>
      </c>
      <c r="E22" s="27">
        <v>34.09</v>
      </c>
      <c r="F22" s="27">
        <v>17206.94</v>
      </c>
      <c r="G22" s="27">
        <v>0</v>
      </c>
      <c r="H22" s="27">
        <v>0</v>
      </c>
      <c r="I22" s="28">
        <v>35.3395</v>
      </c>
      <c r="J22" s="28">
        <v>0</v>
      </c>
      <c r="K22" s="28">
        <v>0.1125</v>
      </c>
      <c r="L22" s="27">
        <v>0</v>
      </c>
      <c r="M22" s="27">
        <v>0</v>
      </c>
      <c r="N22" s="27">
        <v>8787.4767</v>
      </c>
      <c r="O22" s="27">
        <v>5060.53875</v>
      </c>
      <c r="P22" s="27">
        <v>8749.73907</v>
      </c>
      <c r="Q22" s="27">
        <v>37.73763</v>
      </c>
      <c r="R22" s="27">
        <v>5038.806375</v>
      </c>
      <c r="S22" s="27">
        <v>21.732375</v>
      </c>
      <c r="T22" s="27">
        <v>0</v>
      </c>
      <c r="U22" s="27">
        <v>0</v>
      </c>
      <c r="V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H22" s="27">
        <v>0</v>
      </c>
      <c r="AI22" s="27">
        <v>0</v>
      </c>
      <c r="AJ22" s="27">
        <v>0</v>
      </c>
      <c r="AK22" s="27">
        <v>0</v>
      </c>
    </row>
    <row r="23" spans="1:37" ht="10.5">
      <c r="A23" s="27"/>
      <c r="B23" s="27">
        <f t="shared" si="0"/>
        <v>149573.17</v>
      </c>
      <c r="C23" s="27">
        <v>81807.2</v>
      </c>
      <c r="D23" s="27">
        <v>596.81</v>
      </c>
      <c r="E23" s="27">
        <v>573.89</v>
      </c>
      <c r="F23" s="27">
        <v>67169.16</v>
      </c>
      <c r="G23" s="27">
        <v>1202.14</v>
      </c>
      <c r="H23" s="27">
        <v>0</v>
      </c>
      <c r="I23" s="28">
        <v>356.983</v>
      </c>
      <c r="J23" s="28">
        <v>0</v>
      </c>
      <c r="K23" s="28">
        <v>2.1625</v>
      </c>
      <c r="L23" s="27">
        <v>0</v>
      </c>
      <c r="M23" s="27">
        <v>0</v>
      </c>
      <c r="N23" s="27">
        <v>91195.86663</v>
      </c>
      <c r="O23" s="27">
        <v>52517.944875</v>
      </c>
      <c r="P23" s="27">
        <v>90560.5704</v>
      </c>
      <c r="Q23" s="27">
        <v>635.29623</v>
      </c>
      <c r="R23" s="27">
        <v>52152.09</v>
      </c>
      <c r="S23" s="27">
        <v>365.854875</v>
      </c>
      <c r="T23" s="27">
        <v>0</v>
      </c>
      <c r="U23" s="27">
        <v>0</v>
      </c>
      <c r="V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H23" s="27">
        <v>0</v>
      </c>
      <c r="AI23" s="27">
        <v>0</v>
      </c>
      <c r="AJ23" s="27">
        <v>0</v>
      </c>
      <c r="AK23" s="27">
        <v>0</v>
      </c>
    </row>
    <row r="24" spans="1:37" ht="10.5">
      <c r="A24" s="27"/>
      <c r="B24" s="27">
        <f t="shared" si="0"/>
        <v>7021.19</v>
      </c>
      <c r="C24" s="27">
        <v>6830.56</v>
      </c>
      <c r="D24" s="27">
        <v>76.79</v>
      </c>
      <c r="E24" s="27">
        <v>45.23</v>
      </c>
      <c r="F24" s="27">
        <v>113.84</v>
      </c>
      <c r="G24" s="27">
        <v>101.22</v>
      </c>
      <c r="H24" s="27">
        <v>0</v>
      </c>
      <c r="I24" s="28">
        <v>27.393</v>
      </c>
      <c r="J24" s="28">
        <v>0</v>
      </c>
      <c r="K24" s="28">
        <v>0.1375</v>
      </c>
      <c r="L24" s="27">
        <v>0</v>
      </c>
      <c r="M24" s="27">
        <v>0</v>
      </c>
      <c r="N24" s="27">
        <v>7611.49953</v>
      </c>
      <c r="O24" s="27">
        <v>4383.316125</v>
      </c>
      <c r="P24" s="27">
        <v>7561.42992</v>
      </c>
      <c r="Q24" s="27">
        <v>50.06961</v>
      </c>
      <c r="R24" s="27">
        <v>4354.482</v>
      </c>
      <c r="S24" s="27">
        <v>28.834125</v>
      </c>
      <c r="T24" s="27">
        <v>0</v>
      </c>
      <c r="U24" s="27">
        <v>0</v>
      </c>
      <c r="V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H24" s="27">
        <v>0</v>
      </c>
      <c r="AI24" s="27">
        <v>0</v>
      </c>
      <c r="AJ24" s="27">
        <v>0</v>
      </c>
      <c r="AK24" s="27">
        <v>0</v>
      </c>
    </row>
  </sheetData>
  <sheetProtection/>
  <mergeCells count="6">
    <mergeCell ref="B7:L8"/>
    <mergeCell ref="B14:L15"/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K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8" customWidth="1"/>
    <col min="2" max="16384" width="9.140625" style="27" customWidth="1"/>
  </cols>
  <sheetData>
    <row r="1" spans="1:37" s="29" customFormat="1" ht="10.5">
      <c r="A1" s="5"/>
      <c r="B1" s="29" t="s">
        <v>175</v>
      </c>
      <c r="C1" s="29" t="s">
        <v>176</v>
      </c>
      <c r="D1" s="29" t="s">
        <v>177</v>
      </c>
      <c r="E1" s="29" t="s">
        <v>178</v>
      </c>
      <c r="F1" s="29" t="s">
        <v>179</v>
      </c>
      <c r="G1" s="29" t="s">
        <v>180</v>
      </c>
      <c r="H1" s="29" t="s">
        <v>181</v>
      </c>
      <c r="I1" s="29" t="s">
        <v>182</v>
      </c>
      <c r="J1" s="29" t="s">
        <v>183</v>
      </c>
      <c r="K1" s="29" t="s">
        <v>184</v>
      </c>
      <c r="L1" s="29" t="s">
        <v>185</v>
      </c>
      <c r="M1" s="29" t="s">
        <v>186</v>
      </c>
      <c r="N1" s="29" t="s">
        <v>187</v>
      </c>
      <c r="O1" s="29" t="s">
        <v>188</v>
      </c>
      <c r="P1" s="29" t="s">
        <v>189</v>
      </c>
      <c r="Q1" s="29" t="s">
        <v>190</v>
      </c>
      <c r="R1" s="29" t="s">
        <v>191</v>
      </c>
      <c r="S1" s="29" t="s">
        <v>192</v>
      </c>
      <c r="T1" s="29" t="s">
        <v>193</v>
      </c>
      <c r="U1" s="29" t="s">
        <v>194</v>
      </c>
      <c r="V1" s="29" t="s">
        <v>195</v>
      </c>
      <c r="X1" s="29" t="s">
        <v>196</v>
      </c>
      <c r="Y1" s="29" t="s">
        <v>197</v>
      </c>
      <c r="Z1" s="29" t="s">
        <v>198</v>
      </c>
      <c r="AA1" s="29" t="s">
        <v>199</v>
      </c>
      <c r="AB1" s="29" t="s">
        <v>200</v>
      </c>
      <c r="AC1" s="29" t="s">
        <v>201</v>
      </c>
      <c r="AD1" s="29" t="s">
        <v>202</v>
      </c>
      <c r="AE1" s="29" t="s">
        <v>203</v>
      </c>
      <c r="AF1" s="29" t="s">
        <v>204</v>
      </c>
      <c r="AG1" s="29" t="s">
        <v>205</v>
      </c>
      <c r="AH1" s="29" t="s">
        <v>206</v>
      </c>
      <c r="AI1" s="29" t="s">
        <v>207</v>
      </c>
      <c r="AJ1" s="29" t="s">
        <v>208</v>
      </c>
      <c r="AK1" s="29" t="s">
        <v>209</v>
      </c>
    </row>
    <row r="2" spans="1:12" ht="10.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0.5">
      <c r="A3" s="30"/>
      <c r="B3" s="49" t="s">
        <v>210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0.5">
      <c r="A4" s="30"/>
      <c r="B4" s="49" t="s">
        <v>211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0.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7" spans="2:12" ht="10.5">
      <c r="B7" s="41" t="s">
        <v>24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2:12" ht="10.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37" ht="10.5">
      <c r="A9" s="27"/>
      <c r="B9" s="27">
        <f>ROUND(C9+D9+F9+AF9+AG9,2)</f>
        <v>8.82</v>
      </c>
      <c r="C9" s="27">
        <f>ROUND('Форма 4а'!E23*'Базовые цены за единицу'!C9,2)</f>
        <v>8.82</v>
      </c>
      <c r="D9" s="27">
        <f>ROUND('Форма 4а'!E23*'Базовые цены за единицу'!D9,2)</f>
        <v>0</v>
      </c>
      <c r="E9" s="27">
        <f>ROUND('Форма 4а'!E23*'Базовые цены за единицу'!E9,2)</f>
        <v>0</v>
      </c>
      <c r="F9" s="27">
        <f>ROUND('Форма 4а'!E23*'Базовые цены за единицу'!F9,2)</f>
        <v>0</v>
      </c>
      <c r="G9" s="27">
        <f>ROUND('Форма 4а'!E23*'Базовые цены за единицу'!G9,2)</f>
        <v>0</v>
      </c>
      <c r="H9" s="27">
        <f>ROUND('Форма 4а'!E23*'Базовые цены за единицу'!H9,2)</f>
        <v>0</v>
      </c>
      <c r="I9" s="31">
        <f>ОКРУГЛВСЕ('Форма 4а'!E23*'Базовые цены за единицу'!I9,8)</f>
        <v>1.131</v>
      </c>
      <c r="J9" s="28">
        <f>ОКРУГЛВСЕ('Форма 4а'!E23*'Базовые цены за единицу'!J9,8)</f>
        <v>0</v>
      </c>
      <c r="K9" s="31">
        <f>ОКРУГЛВСЕ('Форма 4а'!E23*'Базовые цены за единицу'!K9,8)</f>
        <v>0</v>
      </c>
      <c r="L9" s="27">
        <f>ROUND('Форма 4а'!E23*'Базовые цены за единицу'!L9,2)</f>
        <v>0</v>
      </c>
      <c r="M9" s="27">
        <f>ROUND('Форма 4а'!E23*'Базовые цены за единицу'!M9,2)</f>
        <v>0</v>
      </c>
      <c r="N9" s="27">
        <f>ROUND((C9+E9)*'Форма 4а'!F35/100,2)</f>
        <v>7.06</v>
      </c>
      <c r="O9" s="27">
        <f>ROUND((C9+E9)*'Форма 4а'!F38/100,2)</f>
        <v>6</v>
      </c>
      <c r="P9" s="27">
        <f>ROUND('Форма 4а'!E23*'Базовые цены за единицу'!P9,2)</f>
        <v>7.06</v>
      </c>
      <c r="Q9" s="27">
        <f>ROUND('Форма 4а'!E23*'Базовые цены за единицу'!Q9,2)</f>
        <v>0</v>
      </c>
      <c r="R9" s="27">
        <f>ROUND('Форма 4а'!E23*'Базовые цены за единицу'!R9,2)</f>
        <v>6</v>
      </c>
      <c r="S9" s="27">
        <f>ROUND('Форма 4а'!E23*'Базовые цены за единицу'!S9,2)</f>
        <v>0</v>
      </c>
      <c r="T9" s="27">
        <f>ROUND('Форма 4а'!E23*'Базовые цены за единицу'!T9,2)</f>
        <v>0</v>
      </c>
      <c r="U9" s="27">
        <f>ROUND('Форма 4а'!E23*'Базовые цены за единицу'!U9,2)</f>
        <v>0</v>
      </c>
      <c r="V9" s="27">
        <f>ROUND('Форма 4а'!E23*'Базовые цены за единицу'!V9,2)</f>
        <v>0</v>
      </c>
      <c r="X9" s="27">
        <f>ROUND('Форма 4а'!E23*'Базовые цены за единицу'!X9,2)</f>
        <v>0</v>
      </c>
      <c r="Y9" s="27">
        <f>IF(Определители!I9="9",ROUND((C9+E9)*(Начисления!M9/100)*('Форма 4а'!F35/100),2),0)</f>
        <v>0</v>
      </c>
      <c r="Z9" s="27">
        <f>IF(Определители!I9="9",ROUND((C9+E9)*(100-Начисления!M9/100)*('Форма 4а'!F35/100),2),0)</f>
        <v>0</v>
      </c>
      <c r="AA9" s="27">
        <f>IF(Определители!I9="9",ROUND((C9+E9)*(Начисления!M9/100)*('Форма 4а'!F38/100),2),0)</f>
        <v>0</v>
      </c>
      <c r="AB9" s="27">
        <f>IF(Определители!I9="9",ROUND((C9+E9)*(100-Начисления!M9/100)*('Форма 4а'!F38/100),2),0)</f>
        <v>0</v>
      </c>
      <c r="AC9" s="27">
        <f>IF(Определители!I9="9",ROUND(B9*Начисления!M9/100,2),0)</f>
        <v>0</v>
      </c>
      <c r="AD9" s="27">
        <f>IF(Определители!I9="9",ROUND(B9*(100-Начисления!M9)/100,2),0)</f>
        <v>0</v>
      </c>
      <c r="AE9" s="27">
        <f>ROUND('Форма 4а'!E23*'Базовые цены за единицу'!AE9,2)</f>
        <v>0</v>
      </c>
      <c r="AH9" s="27">
        <f>ROUND('Форма 4а'!E23*'Базовые цены за единицу'!AH9,2)</f>
        <v>0</v>
      </c>
      <c r="AI9" s="27">
        <f>ROUND('Форма 4а'!E23*'Базовые цены за единицу'!AI9,2)</f>
        <v>0</v>
      </c>
      <c r="AJ9" s="27">
        <f>ROUND('Форма 4а'!E23*'Базовые цены за единицу'!AJ9,2)</f>
        <v>0</v>
      </c>
      <c r="AK9" s="27">
        <f>ROUND('Форма 4а'!E23*'Базовые цены за единицу'!AK9,2)</f>
        <v>0</v>
      </c>
    </row>
    <row r="10" spans="1:37" ht="10.5">
      <c r="A10" s="27"/>
      <c r="B10" s="27">
        <f>ROUND(C10+D10+F10+AF10+AG10,2)</f>
        <v>46.45</v>
      </c>
      <c r="C10" s="27">
        <f>ROUND('Форма 4а'!E43*'Базовые цены за единицу'!C10,2)</f>
        <v>44.42</v>
      </c>
      <c r="D10" s="27">
        <f>ROUND('Форма 4а'!E43*'Базовые цены за единицу'!D10,2)</f>
        <v>2.03</v>
      </c>
      <c r="E10" s="27">
        <f>ROUND('Форма 4а'!E43*'Базовые цены за единицу'!E10,2)</f>
        <v>0.88</v>
      </c>
      <c r="F10" s="27">
        <f>ROUND('Форма 4а'!E43*'Базовые цены за единицу'!F10,2)</f>
        <v>0</v>
      </c>
      <c r="G10" s="27">
        <f>ROUND('Форма 4а'!E43*'Базовые цены за единицу'!G10,2)</f>
        <v>0</v>
      </c>
      <c r="H10" s="27">
        <f>ROUND('Форма 4а'!E43*'Базовые цены за единицу'!H10,2)</f>
        <v>0</v>
      </c>
      <c r="I10" s="31">
        <f>ОКРУГЛВСЕ('Форма 4а'!E43*'Базовые цены за единицу'!I10,8)</f>
        <v>5.695</v>
      </c>
      <c r="J10" s="28">
        <f>ОКРУГЛВСЕ('Форма 4а'!E43*'Базовые цены за единицу'!J10,8)</f>
        <v>0</v>
      </c>
      <c r="K10" s="31">
        <f>ОКРУГЛВСЕ('Форма 4а'!E43*'Базовые цены за единицу'!K10,8)</f>
        <v>0.065</v>
      </c>
      <c r="L10" s="27">
        <f>ROUND('Форма 4а'!E43*'Базовые цены за единицу'!L10,2)</f>
        <v>0</v>
      </c>
      <c r="M10" s="27">
        <f>ROUND('Форма 4а'!E43*'Базовые цены за единицу'!M10,2)</f>
        <v>0</v>
      </c>
      <c r="N10" s="27">
        <f>ROUND((C10+E10)*'Форма 4а'!F57/100,2)</f>
        <v>36.24</v>
      </c>
      <c r="O10" s="27">
        <f>ROUND((C10+E10)*'Форма 4а'!F60/100,2)</f>
        <v>30.8</v>
      </c>
      <c r="P10" s="27">
        <f>ROUND('Форма 4а'!E43*'Базовые цены за единицу'!P10,2)</f>
        <v>35.54</v>
      </c>
      <c r="Q10" s="27">
        <f>ROUND('Форма 4а'!E43*'Базовые цены за единицу'!Q10,2)</f>
        <v>0.7</v>
      </c>
      <c r="R10" s="27">
        <f>ROUND('Форма 4а'!E43*'Базовые цены за единицу'!R10,2)</f>
        <v>30.21</v>
      </c>
      <c r="S10" s="27">
        <f>ROUND('Форма 4а'!E43*'Базовые цены за единицу'!S10,2)</f>
        <v>0.6</v>
      </c>
      <c r="T10" s="27">
        <f>ROUND('Форма 4а'!E43*'Базовые цены за единицу'!T10,2)</f>
        <v>0</v>
      </c>
      <c r="U10" s="27">
        <f>ROUND('Форма 4а'!E43*'Базовые цены за единицу'!U10,2)</f>
        <v>0</v>
      </c>
      <c r="V10" s="27">
        <f>ROUND('Форма 4а'!E43*'Базовые цены за единицу'!V10,2)</f>
        <v>0</v>
      </c>
      <c r="X10" s="27">
        <f>ROUND('Форма 4а'!E43*'Базовые цены за единицу'!X10,2)</f>
        <v>0</v>
      </c>
      <c r="Y10" s="27">
        <f>IF(Определители!I10="9",ROUND((C10+E10)*(Начисления!M10/100)*('Форма 4а'!F57/100),2),0)</f>
        <v>0</v>
      </c>
      <c r="Z10" s="27">
        <f>IF(Определители!I10="9",ROUND((C10+E10)*(100-Начисления!M10/100)*('Форма 4а'!F57/100),2),0)</f>
        <v>0</v>
      </c>
      <c r="AA10" s="27">
        <f>IF(Определители!I10="9",ROUND((C10+E10)*(Начисления!M10/100)*('Форма 4а'!F60/100),2),0)</f>
        <v>0</v>
      </c>
      <c r="AB10" s="27">
        <f>IF(Определители!I10="9",ROUND((C10+E10)*(100-Начисления!M10/100)*('Форма 4а'!F60/100),2),0)</f>
        <v>0</v>
      </c>
      <c r="AC10" s="27">
        <f>IF(Определители!I10="9",ROUND(B10*Начисления!M10/100,2),0)</f>
        <v>0</v>
      </c>
      <c r="AD10" s="27">
        <f>IF(Определители!I10="9",ROUND(B10*(100-Начисления!M10)/100,2),0)</f>
        <v>0</v>
      </c>
      <c r="AE10" s="27">
        <f>ROUND('Форма 4а'!E43*'Базовые цены за единицу'!AE10,2)</f>
        <v>0</v>
      </c>
      <c r="AH10" s="27">
        <f>ROUND('Форма 4а'!E43*'Базовые цены за единицу'!AH10,2)</f>
        <v>0</v>
      </c>
      <c r="AI10" s="27">
        <f>ROUND('Форма 4а'!E43*'Базовые цены за единицу'!AI10,2)</f>
        <v>0</v>
      </c>
      <c r="AJ10" s="27">
        <f>ROUND('Форма 4а'!E43*'Базовые цены за единицу'!AJ10,2)</f>
        <v>0</v>
      </c>
      <c r="AK10" s="27">
        <f>ROUND('Форма 4а'!E43*'Базовые цены за единицу'!AK10,2)</f>
        <v>0</v>
      </c>
    </row>
    <row r="11" spans="1:37" ht="10.5">
      <c r="A11" s="27"/>
      <c r="B11" s="27">
        <f>ROUND(C11+D11+F11+AF11+AG11,2)</f>
        <v>58.11</v>
      </c>
      <c r="C11" s="27">
        <f>ROUND('Форма 4а'!E65*'Базовые цены за единицу'!C11,2)</f>
        <v>58.11</v>
      </c>
      <c r="D11" s="27">
        <f>ROUND('Форма 4а'!E65*'Базовые цены за единицу'!D11,2)</f>
        <v>0</v>
      </c>
      <c r="E11" s="27">
        <f>ROUND('Форма 4а'!E65*'Базовые цены за единицу'!E11,2)</f>
        <v>0</v>
      </c>
      <c r="F11" s="27">
        <f>ROUND('Форма 4а'!E65*'Базовые цены за единицу'!F11,2)</f>
        <v>0</v>
      </c>
      <c r="G11" s="27">
        <f>ROUND('Форма 4а'!E65*'Базовые цены за единицу'!G11,2)</f>
        <v>0</v>
      </c>
      <c r="H11" s="27">
        <f>ROUND('Форма 4а'!E65*'Базовые цены за единицу'!H11,2)</f>
        <v>0</v>
      </c>
      <c r="I11" s="31">
        <f>ОКРУГЛВСЕ('Форма 4а'!E65*'Базовые цены за единицу'!I11,8)</f>
        <v>7.45</v>
      </c>
      <c r="J11" s="28">
        <f>ОКРУГЛВСЕ('Форма 4а'!E65*'Базовые цены за единицу'!J11,8)</f>
        <v>0</v>
      </c>
      <c r="K11" s="31">
        <f>ОКРУГЛВСЕ('Форма 4а'!E65*'Базовые цены за единицу'!K11,8)</f>
        <v>0</v>
      </c>
      <c r="L11" s="27">
        <f>ROUND('Форма 4а'!E65*'Базовые цены за единицу'!L11,2)</f>
        <v>0</v>
      </c>
      <c r="M11" s="27">
        <f>ROUND('Форма 4а'!E65*'Базовые цены за единицу'!M11,2)</f>
        <v>0</v>
      </c>
      <c r="N11" s="27">
        <f>ROUND((C11+E11)*'Форма 4а'!F77/100,2)</f>
        <v>46.49</v>
      </c>
      <c r="O11" s="27">
        <f>ROUND((C11+E11)*'Форма 4а'!F80/100,2)</f>
        <v>39.51</v>
      </c>
      <c r="P11" s="27">
        <f>ROUND('Форма 4а'!E65*'Базовые цены за единицу'!P11,2)</f>
        <v>46.49</v>
      </c>
      <c r="Q11" s="27">
        <f>ROUND('Форма 4а'!E65*'Базовые цены за единицу'!Q11,2)</f>
        <v>0</v>
      </c>
      <c r="R11" s="27">
        <f>ROUND('Форма 4а'!E65*'Базовые цены за единицу'!R11,2)</f>
        <v>39.51</v>
      </c>
      <c r="S11" s="27">
        <f>ROUND('Форма 4а'!E65*'Базовые цены за единицу'!S11,2)</f>
        <v>0</v>
      </c>
      <c r="T11" s="27">
        <f>ROUND('Форма 4а'!E65*'Базовые цены за единицу'!T11,2)</f>
        <v>0</v>
      </c>
      <c r="U11" s="27">
        <f>ROUND('Форма 4а'!E65*'Базовые цены за единицу'!U11,2)</f>
        <v>0</v>
      </c>
      <c r="V11" s="27">
        <f>ROUND('Форма 4а'!E65*'Базовые цены за единицу'!V11,2)</f>
        <v>0</v>
      </c>
      <c r="X11" s="27">
        <f>ROUND('Форма 4а'!E65*'Базовые цены за единицу'!X11,2)</f>
        <v>0</v>
      </c>
      <c r="Y11" s="27">
        <f>IF(Определители!I11="9",ROUND((C11+E11)*(Начисления!M11/100)*('Форма 4а'!F77/100),2),0)</f>
        <v>0</v>
      </c>
      <c r="Z11" s="27">
        <f>IF(Определители!I11="9",ROUND((C11+E11)*(100-Начисления!M11/100)*('Форма 4а'!F77/100),2),0)</f>
        <v>0</v>
      </c>
      <c r="AA11" s="27">
        <f>IF(Определители!I11="9",ROUND((C11+E11)*(Начисления!M11/100)*('Форма 4а'!F80/100),2),0)</f>
        <v>0</v>
      </c>
      <c r="AB11" s="27">
        <f>IF(Определители!I11="9",ROUND((C11+E11)*(100-Начисления!M11/100)*('Форма 4а'!F80/100),2),0)</f>
        <v>0</v>
      </c>
      <c r="AC11" s="27">
        <f>IF(Определители!I11="9",ROUND(B11*Начисления!M11/100,2),0)</f>
        <v>0</v>
      </c>
      <c r="AD11" s="27">
        <f>IF(Определители!I11="9",ROUND(B11*(100-Начисления!M11)/100,2),0)</f>
        <v>0</v>
      </c>
      <c r="AE11" s="27">
        <f>ROUND('Форма 4а'!E65*'Базовые цены за единицу'!AE11,2)</f>
        <v>0</v>
      </c>
      <c r="AH11" s="27">
        <f>ROUND('Форма 4а'!E65*'Базовые цены за единицу'!AH11,2)</f>
        <v>0</v>
      </c>
      <c r="AI11" s="27">
        <f>ROUND('Форма 4а'!E65*'Базовые цены за единицу'!AI11,2)</f>
        <v>0</v>
      </c>
      <c r="AJ11" s="27">
        <f>ROUND('Форма 4а'!E65*'Базовые цены за единицу'!AJ11,2)</f>
        <v>0</v>
      </c>
      <c r="AK11" s="27">
        <f>ROUND('Форма 4а'!E65*'Базовые цены за единицу'!AK11,2)</f>
        <v>0</v>
      </c>
    </row>
    <row r="12" spans="1:37" ht="10.5">
      <c r="A12" s="27"/>
      <c r="B12" s="27">
        <f>ROUND(C12+D12+F12+AF12+AG12,2)</f>
        <v>29.92</v>
      </c>
      <c r="C12" s="27">
        <f>ROUND('Форма 4а'!E85*'Базовые цены за единицу'!C12,2)</f>
        <v>29.92</v>
      </c>
      <c r="D12" s="27">
        <f>ROUND('Форма 4а'!E85*'Базовые цены за единицу'!D12,2)</f>
        <v>0</v>
      </c>
      <c r="E12" s="27">
        <f>ROUND('Форма 4а'!E85*'Базовые цены за единицу'!E12,2)</f>
        <v>0</v>
      </c>
      <c r="F12" s="27">
        <f>ROUND('Форма 4а'!E85*'Базовые цены за единицу'!F12,2)</f>
        <v>0</v>
      </c>
      <c r="G12" s="27">
        <f>ROUND('Форма 4а'!E85*'Базовые цены за единицу'!G12,2)</f>
        <v>0</v>
      </c>
      <c r="H12" s="27">
        <f>ROUND('Форма 4а'!E85*'Базовые цены за единицу'!H12,2)</f>
        <v>0</v>
      </c>
      <c r="I12" s="31">
        <f>ОКРУГЛВСЕ('Форма 4а'!E85*'Базовые цены за единицу'!I12,8)</f>
        <v>3.835</v>
      </c>
      <c r="J12" s="28">
        <f>ОКРУГЛВСЕ('Форма 4а'!E85*'Базовые цены за единицу'!J12,8)</f>
        <v>0</v>
      </c>
      <c r="K12" s="31">
        <f>ОКРУГЛВСЕ('Форма 4а'!E85*'Базовые цены за единицу'!K12,8)</f>
        <v>0</v>
      </c>
      <c r="L12" s="27">
        <f>ROUND('Форма 4а'!E85*'Базовые цены за единицу'!L12,2)</f>
        <v>0</v>
      </c>
      <c r="M12" s="27">
        <f>ROUND('Форма 4а'!E85*'Базовые цены за единицу'!M12,2)</f>
        <v>0</v>
      </c>
      <c r="N12" s="27">
        <f>ROUND((C12+E12)*'Форма 4а'!F97/100,2)</f>
        <v>23.94</v>
      </c>
      <c r="O12" s="27">
        <f>ROUND((C12+E12)*'Форма 4а'!F100/100,2)</f>
        <v>20.35</v>
      </c>
      <c r="P12" s="27">
        <f>ROUND('Форма 4а'!E85*'Базовые цены за единицу'!P12,2)</f>
        <v>23.93</v>
      </c>
      <c r="Q12" s="27">
        <f>ROUND('Форма 4а'!E85*'Базовые цены за единицу'!Q12,2)</f>
        <v>0</v>
      </c>
      <c r="R12" s="27">
        <f>ROUND('Форма 4а'!E85*'Базовые цены за единицу'!R12,2)</f>
        <v>20.34</v>
      </c>
      <c r="S12" s="27">
        <f>ROUND('Форма 4а'!E85*'Базовые цены за единицу'!S12,2)</f>
        <v>0</v>
      </c>
      <c r="T12" s="27">
        <f>ROUND('Форма 4а'!E85*'Базовые цены за единицу'!T12,2)</f>
        <v>0</v>
      </c>
      <c r="U12" s="27">
        <f>ROUND('Форма 4а'!E85*'Базовые цены за единицу'!U12,2)</f>
        <v>0</v>
      </c>
      <c r="V12" s="27">
        <f>ROUND('Форма 4а'!E85*'Базовые цены за единицу'!V12,2)</f>
        <v>0</v>
      </c>
      <c r="X12" s="27">
        <f>ROUND('Форма 4а'!E85*'Базовые цены за единицу'!X12,2)</f>
        <v>0</v>
      </c>
      <c r="Y12" s="27">
        <f>IF(Определители!I12="9",ROUND((C12+E12)*(Начисления!M12/100)*('Форма 4а'!F97/100),2),0)</f>
        <v>0</v>
      </c>
      <c r="Z12" s="27">
        <f>IF(Определители!I12="9",ROUND((C12+E12)*(100-Начисления!M12/100)*('Форма 4а'!F97/100),2),0)</f>
        <v>0</v>
      </c>
      <c r="AA12" s="27">
        <f>IF(Определители!I12="9",ROUND((C12+E12)*(Начисления!M12/100)*('Форма 4а'!F100/100),2),0)</f>
        <v>0</v>
      </c>
      <c r="AB12" s="27">
        <f>IF(Определители!I12="9",ROUND((C12+E12)*(100-Начисления!M12/100)*('Форма 4а'!F100/100),2),0)</f>
        <v>0</v>
      </c>
      <c r="AC12" s="27">
        <f>IF(Определители!I12="9",ROUND(B12*Начисления!M12/100,2),0)</f>
        <v>0</v>
      </c>
      <c r="AD12" s="27">
        <f>IF(Определители!I12="9",ROUND(B12*(100-Начисления!M12)/100,2),0)</f>
        <v>0</v>
      </c>
      <c r="AE12" s="27">
        <f>ROUND('Форма 4а'!E85*'Базовые цены за единицу'!AE12,2)</f>
        <v>0</v>
      </c>
      <c r="AH12" s="27">
        <f>ROUND('Форма 4а'!E85*'Базовые цены за единицу'!AH12,2)</f>
        <v>0</v>
      </c>
      <c r="AI12" s="27">
        <f>ROUND('Форма 4а'!E85*'Базовые цены за единицу'!AI12,2)</f>
        <v>0</v>
      </c>
      <c r="AJ12" s="27">
        <f>ROUND('Форма 4а'!E85*'Базовые цены за единицу'!AJ12,2)</f>
        <v>0</v>
      </c>
      <c r="AK12" s="27">
        <f>ROUND('Форма 4а'!E85*'Базовые цены за единицу'!AK12,2)</f>
        <v>0</v>
      </c>
    </row>
    <row r="14" spans="2:12" ht="10.5">
      <c r="B14" s="41" t="s">
        <v>123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2:12" ht="10.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37" ht="10.5">
      <c r="A16" s="27"/>
      <c r="B16" s="27">
        <f aca="true" t="shared" si="0" ref="B16:B24">ROUND(C16+D16+F16+AF16+AG16,2)</f>
        <v>1197</v>
      </c>
      <c r="C16" s="27">
        <f>ROUND('Форма 4а'!E168*'Базовые цены за единицу'!C16,2)</f>
        <v>107.95</v>
      </c>
      <c r="D16" s="27">
        <f>ROUND('Форма 4а'!E168*'Базовые цены за единицу'!D16,2)</f>
        <v>187.05</v>
      </c>
      <c r="E16" s="27">
        <f>ROUND('Форма 4а'!E168*'Базовые цены за единицу'!E16,2)</f>
        <v>32.2</v>
      </c>
      <c r="F16" s="27">
        <f>ROUND('Форма 4а'!E168*'Базовые цены за единицу'!F16,2)</f>
        <v>902</v>
      </c>
      <c r="G16" s="27">
        <f>ROUND('Форма 4а'!E168*'Базовые цены за единицу'!G16,2)</f>
        <v>831.65</v>
      </c>
      <c r="H16" s="27">
        <f>ROUND('Форма 4а'!E168*'Базовые цены за единицу'!H16,2)</f>
        <v>0</v>
      </c>
      <c r="I16" s="31">
        <f>ОКРУГЛВСЕ('Форма 4а'!E168*'Базовые цены за единицу'!I16,8)</f>
        <v>12.65</v>
      </c>
      <c r="J16" s="28">
        <f>ОКРУГЛВСЕ('Форма 4а'!E168*'Базовые цены за единицу'!J16,8)</f>
        <v>0</v>
      </c>
      <c r="K16" s="31">
        <f>ОКРУГЛВСЕ('Форма 4а'!E168*'Базовые цены за единицу'!K16,8)</f>
        <v>2.8125</v>
      </c>
      <c r="L16" s="27">
        <f>ROUND('Форма 4а'!E168*'Базовые цены за единицу'!L16,2)</f>
        <v>0</v>
      </c>
      <c r="M16" s="27">
        <f>ROUND('Форма 4а'!E168*'Базовые цены за единицу'!M16,2)</f>
        <v>0</v>
      </c>
      <c r="N16" s="27">
        <f>ROUND((C16+E16)*'Форма 4а'!F183/100,2)</f>
        <v>155.15</v>
      </c>
      <c r="O16" s="27">
        <f>ROUND((C16+E16)*'Форма 4а'!F186/100,2)</f>
        <v>89.35</v>
      </c>
      <c r="P16" s="27">
        <f>ROUND('Форма 4а'!E168*'Базовые цены за единицу'!P16,2)</f>
        <v>119.5</v>
      </c>
      <c r="Q16" s="27">
        <f>ROUND('Форма 4а'!E168*'Базовые цены за единицу'!Q16,2)</f>
        <v>35.65</v>
      </c>
      <c r="R16" s="27">
        <f>ROUND('Форма 4а'!E168*'Базовые цены за единицу'!R16,2)</f>
        <v>68.82</v>
      </c>
      <c r="S16" s="27">
        <f>ROUND('Форма 4а'!E168*'Базовые цены за единицу'!S16,2)</f>
        <v>20.53</v>
      </c>
      <c r="T16" s="27">
        <f>ROUND('Форма 4а'!E168*'Базовые цены за единицу'!T16,2)</f>
        <v>0</v>
      </c>
      <c r="U16" s="27">
        <f>ROUND('Форма 4а'!E168*'Базовые цены за единицу'!U16,2)</f>
        <v>0</v>
      </c>
      <c r="V16" s="27">
        <f>ROUND('Форма 4а'!E168*'Базовые цены за единицу'!V16,2)</f>
        <v>0</v>
      </c>
      <c r="X16" s="27">
        <f>ROUND('Форма 4а'!E168*'Базовые цены за единицу'!X16,2)</f>
        <v>0</v>
      </c>
      <c r="Y16" s="27">
        <f>IF(Определители!I16="9",ROUND((C16+E16)*(Начисления!M16/100)*('Форма 4а'!F183/100),2),0)</f>
        <v>0</v>
      </c>
      <c r="Z16" s="27">
        <f>IF(Определители!I16="9",ROUND((C16+E16)*(100-Начисления!M16/100)*('Форма 4а'!F183/100),2),0)</f>
        <v>0</v>
      </c>
      <c r="AA16" s="27">
        <f>IF(Определители!I16="9",ROUND((C16+E16)*(Начисления!M16/100)*('Форма 4а'!F186/100),2),0)</f>
        <v>0</v>
      </c>
      <c r="AB16" s="27">
        <f>IF(Определители!I16="9",ROUND((C16+E16)*(100-Начисления!M16/100)*('Форма 4а'!F186/100),2),0)</f>
        <v>0</v>
      </c>
      <c r="AC16" s="27">
        <f>IF(Определители!I16="9",ROUND(B16*Начисления!M16/100,2),0)</f>
        <v>0</v>
      </c>
      <c r="AD16" s="27">
        <f>IF(Определители!I16="9",ROUND(B16*(100-Начисления!M16)/100,2),0)</f>
        <v>0</v>
      </c>
      <c r="AE16" s="27">
        <f>ROUND('Форма 4а'!E168*'Базовые цены за единицу'!AE16,2)</f>
        <v>0</v>
      </c>
      <c r="AH16" s="27">
        <f>ROUND('Форма 4а'!E168*'Базовые цены за единицу'!AH16,2)</f>
        <v>0</v>
      </c>
      <c r="AI16" s="27">
        <f>ROUND('Форма 4а'!E168*'Базовые цены за единицу'!AI16,2)</f>
        <v>0</v>
      </c>
      <c r="AJ16" s="27">
        <f>ROUND('Форма 4а'!E168*'Базовые цены за единицу'!AJ16,2)</f>
        <v>0</v>
      </c>
      <c r="AK16" s="27">
        <f>ROUND('Форма 4а'!E168*'Базовые цены за единицу'!AK16,2)</f>
        <v>0</v>
      </c>
    </row>
    <row r="17" spans="1:37" ht="10.5">
      <c r="A17" s="27"/>
      <c r="B17" s="27">
        <f t="shared" si="0"/>
        <v>336.53</v>
      </c>
      <c r="C17" s="27">
        <f>ROUND('Форма 4а'!E191*'Базовые цены за единицу'!C17,2)</f>
        <v>84.7</v>
      </c>
      <c r="D17" s="27">
        <f>ROUND('Форма 4а'!E191*'Базовые цены за единицу'!D17,2)</f>
        <v>85.13</v>
      </c>
      <c r="E17" s="27">
        <f>ROUND('Форма 4а'!E191*'Базовые цены за единицу'!E17,2)</f>
        <v>9.4</v>
      </c>
      <c r="F17" s="27">
        <f>ROUND('Форма 4а'!E191*'Базовые цены за единицу'!F17,2)</f>
        <v>166.7</v>
      </c>
      <c r="G17" s="27">
        <f>ROUND('Форма 4а'!E191*'Базовые цены за единицу'!G17,2)</f>
        <v>75.73</v>
      </c>
      <c r="H17" s="27">
        <f>ROUND('Форма 4а'!E191*'Базовые цены за единицу'!H17,2)</f>
        <v>0</v>
      </c>
      <c r="I17" s="31">
        <f>ОКРУГЛВСЕ('Форма 4а'!E191*'Базовые цены за единицу'!I17,8)</f>
        <v>9.80375</v>
      </c>
      <c r="J17" s="28">
        <f>ОКРУГЛВСЕ('Форма 4а'!E191*'Базовые цены за единицу'!J17,8)</f>
        <v>0</v>
      </c>
      <c r="K17" s="31">
        <f>ОКРУГЛВСЕ('Форма 4а'!E191*'Базовые цены за единицу'!K17,8)</f>
        <v>0.9375</v>
      </c>
      <c r="L17" s="27">
        <f>ROUND('Форма 4а'!E191*'Базовые цены за единицу'!L17,2)</f>
        <v>0</v>
      </c>
      <c r="M17" s="27">
        <f>ROUND('Форма 4а'!E191*'Базовые цены за единицу'!M17,2)</f>
        <v>0</v>
      </c>
      <c r="N17" s="27">
        <f>ROUND((C17+E17)*'Форма 4а'!F206/100,2)</f>
        <v>104.17</v>
      </c>
      <c r="O17" s="27">
        <f>ROUND((C17+E17)*'Форма 4а'!F209/100,2)</f>
        <v>59.99</v>
      </c>
      <c r="P17" s="27">
        <f>ROUND('Форма 4а'!E191*'Базовые цены за единицу'!P17,2)</f>
        <v>93.76</v>
      </c>
      <c r="Q17" s="27">
        <f>ROUND('Форма 4а'!E191*'Базовые цены за единицу'!Q17,2)</f>
        <v>10.41</v>
      </c>
      <c r="R17" s="27">
        <f>ROUND('Форма 4а'!E191*'Базовые цены за единицу'!R17,2)</f>
        <v>54</v>
      </c>
      <c r="S17" s="27">
        <f>ROUND('Форма 4а'!E191*'Базовые цены за единицу'!S17,2)</f>
        <v>5.99</v>
      </c>
      <c r="T17" s="27">
        <f>ROUND('Форма 4а'!E191*'Базовые цены за единицу'!T17,2)</f>
        <v>0</v>
      </c>
      <c r="U17" s="27">
        <f>ROUND('Форма 4а'!E191*'Базовые цены за единицу'!U17,2)</f>
        <v>0</v>
      </c>
      <c r="V17" s="27">
        <f>ROUND('Форма 4а'!E191*'Базовые цены за единицу'!V17,2)</f>
        <v>0</v>
      </c>
      <c r="X17" s="27">
        <f>ROUND('Форма 4а'!E191*'Базовые цены за единицу'!X17,2)</f>
        <v>0</v>
      </c>
      <c r="Y17" s="27">
        <f>IF(Определители!I17="9",ROUND((C17+E17)*(Начисления!M17/100)*('Форма 4а'!F206/100),2),0)</f>
        <v>0</v>
      </c>
      <c r="Z17" s="27">
        <f>IF(Определители!I17="9",ROUND((C17+E17)*(100-Начисления!M17/100)*('Форма 4а'!F206/100),2),0)</f>
        <v>0</v>
      </c>
      <c r="AA17" s="27">
        <f>IF(Определители!I17="9",ROUND((C17+E17)*(Начисления!M17/100)*('Форма 4а'!F209/100),2),0)</f>
        <v>0</v>
      </c>
      <c r="AB17" s="27">
        <f>IF(Определители!I17="9",ROUND((C17+E17)*(100-Начисления!M17/100)*('Форма 4а'!F209/100),2),0)</f>
        <v>0</v>
      </c>
      <c r="AC17" s="27">
        <f>IF(Определители!I17="9",ROUND(B17*Начисления!M17/100,2),0)</f>
        <v>0</v>
      </c>
      <c r="AD17" s="27">
        <f>IF(Определители!I17="9",ROUND(B17*(100-Начисления!M17)/100,2),0)</f>
        <v>0</v>
      </c>
      <c r="AE17" s="27">
        <f>ROUND('Форма 4а'!E191*'Базовые цены за единицу'!AE17,2)</f>
        <v>0</v>
      </c>
      <c r="AH17" s="27">
        <f>ROUND('Форма 4а'!E191*'Базовые цены за единицу'!AH17,2)</f>
        <v>0</v>
      </c>
      <c r="AI17" s="27">
        <f>ROUND('Форма 4а'!E191*'Базовые цены за единицу'!AI17,2)</f>
        <v>0</v>
      </c>
      <c r="AJ17" s="27">
        <f>ROUND('Форма 4а'!E191*'Базовые цены за единицу'!AJ17,2)</f>
        <v>0</v>
      </c>
      <c r="AK17" s="27">
        <f>ROUND('Форма 4а'!E191*'Базовые цены за единицу'!AK17,2)</f>
        <v>0</v>
      </c>
    </row>
    <row r="18" spans="1:37" ht="10.5">
      <c r="A18" s="27"/>
      <c r="B18" s="27">
        <f t="shared" si="0"/>
        <v>675.64</v>
      </c>
      <c r="C18" s="27">
        <f>ROUND('Форма 4а'!E214*'Базовые цены за единицу'!C18,2)</f>
        <v>186.62</v>
      </c>
      <c r="D18" s="27">
        <f>ROUND('Форма 4а'!E214*'Базовые цены за единицу'!D18,2)</f>
        <v>108.08</v>
      </c>
      <c r="E18" s="27">
        <f>ROUND('Форма 4а'!E214*'Базовые цены за единицу'!E18,2)</f>
        <v>3.66</v>
      </c>
      <c r="F18" s="27">
        <f>ROUND('Форма 4а'!E214*'Базовые цены за единицу'!F18,2)</f>
        <v>380.94</v>
      </c>
      <c r="G18" s="27">
        <f>ROUND('Форма 4а'!E214*'Базовые цены за единицу'!G18,2)</f>
        <v>0</v>
      </c>
      <c r="H18" s="27">
        <f>ROUND('Форма 4а'!E214*'Базовые цены за единицу'!H18,2)</f>
        <v>0</v>
      </c>
      <c r="I18" s="31">
        <f>ОКРУГЛВСЕ('Форма 4а'!E214*'Базовые цены за единицу'!I18,8)</f>
        <v>17.058525</v>
      </c>
      <c r="J18" s="28">
        <f>ОКРУГЛВСЕ('Форма 4а'!E214*'Базовые цены за единицу'!J18,8)</f>
        <v>0</v>
      </c>
      <c r="K18" s="31">
        <f>ОКРУГЛВСЕ('Форма 4а'!E214*'Базовые цены за единицу'!K18,8)</f>
        <v>0.295625</v>
      </c>
      <c r="L18" s="27">
        <f>ROUND('Форма 4а'!E214*'Базовые цены за единицу'!L18,2)</f>
        <v>0</v>
      </c>
      <c r="M18" s="27">
        <f>ROUND('Форма 4а'!E214*'Базовые цены за единицу'!M18,2)</f>
        <v>0</v>
      </c>
      <c r="N18" s="27">
        <f>ROUND((C18+E18)*'Форма 4а'!F228/100,2)</f>
        <v>210.64</v>
      </c>
      <c r="O18" s="27">
        <f>ROUND((C18+E18)*'Форма 4а'!F231/100,2)</f>
        <v>121.3</v>
      </c>
      <c r="P18" s="27">
        <f>ROUND('Форма 4а'!E214*'Базовые цены за единицу'!P18,2)</f>
        <v>206.59</v>
      </c>
      <c r="Q18" s="27">
        <f>ROUND('Форма 4а'!E214*'Базовые цены за единицу'!Q18,2)</f>
        <v>4.05</v>
      </c>
      <c r="R18" s="27">
        <f>ROUND('Форма 4а'!E214*'Базовые цены за единицу'!R18,2)</f>
        <v>118.97</v>
      </c>
      <c r="S18" s="27">
        <f>ROUND('Форма 4а'!E214*'Базовые цены за единицу'!S18,2)</f>
        <v>2.34</v>
      </c>
      <c r="T18" s="27">
        <f>ROUND('Форма 4а'!E214*'Базовые цены за единицу'!T18,2)</f>
        <v>0</v>
      </c>
      <c r="U18" s="27">
        <f>ROUND('Форма 4а'!E214*'Базовые цены за единицу'!U18,2)</f>
        <v>0</v>
      </c>
      <c r="V18" s="27">
        <f>ROUND('Форма 4а'!E214*'Базовые цены за единицу'!V18,2)</f>
        <v>0</v>
      </c>
      <c r="X18" s="27">
        <f>ROUND('Форма 4а'!E214*'Базовые цены за единицу'!X18,2)</f>
        <v>0</v>
      </c>
      <c r="Y18" s="27">
        <f>IF(Определители!I18="9",ROUND((C18+E18)*(Начисления!M18/100)*('Форма 4а'!F228/100),2),0)</f>
        <v>0</v>
      </c>
      <c r="Z18" s="27">
        <f>IF(Определители!I18="9",ROUND((C18+E18)*(100-Начисления!M18/100)*('Форма 4а'!F228/100),2),0)</f>
        <v>0</v>
      </c>
      <c r="AA18" s="27">
        <f>IF(Определители!I18="9",ROUND((C18+E18)*(Начисления!M18/100)*('Форма 4а'!F231/100),2),0)</f>
        <v>0</v>
      </c>
      <c r="AB18" s="27">
        <f>IF(Определители!I18="9",ROUND((C18+E18)*(100-Начисления!M18/100)*('Форма 4а'!F231/100),2),0)</f>
        <v>0</v>
      </c>
      <c r="AC18" s="27">
        <f>IF(Определители!I18="9",ROUND(B18*Начисления!M18/100,2),0)</f>
        <v>0</v>
      </c>
      <c r="AD18" s="27">
        <f>IF(Определители!I18="9",ROUND(B18*(100-Начисления!M18)/100,2),0)</f>
        <v>0</v>
      </c>
      <c r="AE18" s="27">
        <f>ROUND('Форма 4а'!E214*'Базовые цены за единицу'!AE18,2)</f>
        <v>0</v>
      </c>
      <c r="AH18" s="27">
        <f>ROUND('Форма 4а'!E214*'Базовые цены за единицу'!AH18,2)</f>
        <v>0</v>
      </c>
      <c r="AI18" s="27">
        <f>ROUND('Форма 4а'!E214*'Базовые цены за единицу'!AI18,2)</f>
        <v>0</v>
      </c>
      <c r="AJ18" s="27">
        <f>ROUND('Форма 4а'!E214*'Базовые цены за единицу'!AJ18,2)</f>
        <v>0</v>
      </c>
      <c r="AK18" s="27">
        <f>ROUND('Форма 4а'!E214*'Базовые цены за единицу'!AK18,2)</f>
        <v>0</v>
      </c>
    </row>
    <row r="19" spans="1:37" ht="10.5">
      <c r="A19" s="27"/>
      <c r="B19" s="27">
        <f t="shared" si="0"/>
        <v>953.08</v>
      </c>
      <c r="C19" s="27">
        <f>ROUND('Форма 4а'!E236*'Базовые цены за единицу'!C19,2)</f>
        <v>182.32</v>
      </c>
      <c r="D19" s="27">
        <f>ROUND('Форма 4а'!E236*'Базовые цены за единицу'!D19,2)</f>
        <v>26.28</v>
      </c>
      <c r="E19" s="27">
        <f>ROUND('Форма 4а'!E236*'Базовые цены за единицу'!E19,2)</f>
        <v>10.72</v>
      </c>
      <c r="F19" s="27">
        <f>ROUND('Форма 4а'!E236*'Базовые цены за единицу'!F19,2)</f>
        <v>744.48</v>
      </c>
      <c r="G19" s="27">
        <f>ROUND('Форма 4а'!E236*'Базовые цены за единицу'!G19,2)</f>
        <v>658.67</v>
      </c>
      <c r="H19" s="27">
        <f>ROUND('Форма 4а'!E236*'Базовые цены за единицу'!H19,2)</f>
        <v>0</v>
      </c>
      <c r="I19" s="31">
        <f>ОКРУГЛВСЕ('Форма 4а'!E236*'Базовые цены за единицу'!I19,8)</f>
        <v>23.37375</v>
      </c>
      <c r="J19" s="28">
        <f>ОКРУГЛВСЕ('Форма 4а'!E236*'Базовые цены за единицу'!J19,8)</f>
        <v>0</v>
      </c>
      <c r="K19" s="31">
        <f>ОКРУГЛВСЕ('Форма 4а'!E236*'Базовые цены за единицу'!K19,8)</f>
        <v>0.79375</v>
      </c>
      <c r="L19" s="27">
        <f>ROUND('Форма 4а'!E236*'Базовые цены за единицу'!L19,2)</f>
        <v>0</v>
      </c>
      <c r="M19" s="27">
        <f>ROUND('Форма 4а'!E236*'Базовые цены за единицу'!M19,2)</f>
        <v>0</v>
      </c>
      <c r="N19" s="27">
        <f>ROUND((C19+E19)*'Форма 4а'!F251/100,2)</f>
        <v>213.7</v>
      </c>
      <c r="O19" s="27">
        <f>ROUND((C19+E19)*'Форма 4а'!F254/100,2)</f>
        <v>123.06</v>
      </c>
      <c r="P19" s="27">
        <f>ROUND('Форма 4а'!E236*'Базовые цены за единицу'!P19,2)</f>
        <v>201.82</v>
      </c>
      <c r="Q19" s="27">
        <f>ROUND('Форма 4а'!E236*'Базовые цены за единицу'!Q19,2)</f>
        <v>11.87</v>
      </c>
      <c r="R19" s="27">
        <f>ROUND('Форма 4а'!E236*'Базовые цены за единицу'!R19,2)</f>
        <v>116.23</v>
      </c>
      <c r="S19" s="27">
        <f>ROUND('Форма 4а'!E236*'Базовые цены за единицу'!S19,2)</f>
        <v>6.83</v>
      </c>
      <c r="T19" s="27">
        <f>ROUND('Форма 4а'!E236*'Базовые цены за единицу'!T19,2)</f>
        <v>0</v>
      </c>
      <c r="U19" s="27">
        <f>ROUND('Форма 4а'!E236*'Базовые цены за единицу'!U19,2)</f>
        <v>0</v>
      </c>
      <c r="V19" s="27">
        <f>ROUND('Форма 4а'!E236*'Базовые цены за единицу'!V19,2)</f>
        <v>0</v>
      </c>
      <c r="X19" s="27">
        <f>ROUND('Форма 4а'!E236*'Базовые цены за единицу'!X19,2)</f>
        <v>0</v>
      </c>
      <c r="Y19" s="27">
        <f>IF(Определители!I19="9",ROUND((C19+E19)*(Начисления!M19/100)*('Форма 4а'!F251/100),2),0)</f>
        <v>0</v>
      </c>
      <c r="Z19" s="27">
        <f>IF(Определители!I19="9",ROUND((C19+E19)*(100-Начисления!M19/100)*('Форма 4а'!F251/100),2),0)</f>
        <v>0</v>
      </c>
      <c r="AA19" s="27">
        <f>IF(Определители!I19="9",ROUND((C19+E19)*(Начисления!M19/100)*('Форма 4а'!F254/100),2),0)</f>
        <v>0</v>
      </c>
      <c r="AB19" s="27">
        <f>IF(Определители!I19="9",ROUND((C19+E19)*(100-Начисления!M19/100)*('Форма 4а'!F254/100),2),0)</f>
        <v>0</v>
      </c>
      <c r="AC19" s="27">
        <f>IF(Определители!I19="9",ROUND(B19*Начисления!M19/100,2),0)</f>
        <v>0</v>
      </c>
      <c r="AD19" s="27">
        <f>IF(Определители!I19="9",ROUND(B19*(100-Начисления!M19)/100,2),0)</f>
        <v>0</v>
      </c>
      <c r="AE19" s="27">
        <f>ROUND('Форма 4а'!E236*'Базовые цены за единицу'!AE19,2)</f>
        <v>0</v>
      </c>
      <c r="AH19" s="27">
        <f>ROUND('Форма 4а'!E236*'Базовые цены за единицу'!AH19,2)</f>
        <v>0</v>
      </c>
      <c r="AI19" s="27">
        <f>ROUND('Форма 4а'!E236*'Базовые цены за единицу'!AI19,2)</f>
        <v>0</v>
      </c>
      <c r="AJ19" s="27">
        <f>ROUND('Форма 4а'!E236*'Базовые цены за единицу'!AJ19,2)</f>
        <v>0</v>
      </c>
      <c r="AK19" s="27">
        <f>ROUND('Форма 4а'!E236*'Базовые цены за единицу'!AK19,2)</f>
        <v>0</v>
      </c>
    </row>
    <row r="20" spans="1:37" ht="10.5">
      <c r="A20" s="27"/>
      <c r="B20" s="27">
        <f t="shared" si="0"/>
        <v>384.24</v>
      </c>
      <c r="C20" s="27">
        <f>ROUND('Форма 4а'!E259*'Базовые цены за единицу'!C20,2)</f>
        <v>4.49</v>
      </c>
      <c r="D20" s="27">
        <f>ROUND('Форма 4а'!E259*'Базовые цены за единицу'!D20,2)</f>
        <v>9.65</v>
      </c>
      <c r="E20" s="27">
        <f>ROUND('Форма 4а'!E259*'Базовые цены за единицу'!E20,2)</f>
        <v>3.55</v>
      </c>
      <c r="F20" s="27">
        <f>ROUND('Форма 4а'!E259*'Базовые цены за единицу'!F20,2)</f>
        <v>370.1</v>
      </c>
      <c r="G20" s="27">
        <f>ROUND('Форма 4а'!E259*'Базовые цены за единицу'!G20,2)</f>
        <v>329.34</v>
      </c>
      <c r="H20" s="27">
        <f>ROUND('Форма 4а'!E259*'Базовые цены за единицу'!H20,2)</f>
        <v>0</v>
      </c>
      <c r="I20" s="31">
        <f>ОКРУГЛВСЕ('Форма 4а'!E259*'Базовые цены за единицу'!I20,8)</f>
        <v>0.575</v>
      </c>
      <c r="J20" s="28">
        <f>ОКРУГЛВСЕ('Форма 4а'!E259*'Базовые цены за единицу'!J20,8)</f>
        <v>0</v>
      </c>
      <c r="K20" s="31">
        <f>ОКРУГЛВСЕ('Форма 4а'!E259*'Базовые цены за единицу'!K20,8)</f>
        <v>0.2625</v>
      </c>
      <c r="L20" s="27">
        <f>ROUND('Форма 4а'!E259*'Базовые цены за единицу'!L20,2)</f>
        <v>0</v>
      </c>
      <c r="M20" s="27">
        <f>ROUND('Форма 4а'!E259*'Базовые цены за единицу'!M20,2)</f>
        <v>0</v>
      </c>
      <c r="N20" s="27">
        <f>ROUND((C20+E20)*'Форма 4а'!F274/100,2)</f>
        <v>8.9</v>
      </c>
      <c r="O20" s="27">
        <f>ROUND((C20+E20)*'Форма 4а'!F277/100,2)</f>
        <v>5.13</v>
      </c>
      <c r="P20" s="27">
        <f>ROUND('Форма 4а'!E259*'Базовые цены за единицу'!P20,2)</f>
        <v>4.96</v>
      </c>
      <c r="Q20" s="27">
        <f>ROUND('Форма 4а'!E259*'Базовые цены за единицу'!Q20,2)</f>
        <v>3.93</v>
      </c>
      <c r="R20" s="27">
        <f>ROUND('Форма 4а'!E259*'Базовые цены за единицу'!R20,2)</f>
        <v>2.86</v>
      </c>
      <c r="S20" s="27">
        <f>ROUND('Форма 4а'!E259*'Базовые цены за единицу'!S20,2)</f>
        <v>2.26</v>
      </c>
      <c r="T20" s="27">
        <f>ROUND('Форма 4а'!E259*'Базовые цены за единицу'!T20,2)</f>
        <v>0</v>
      </c>
      <c r="U20" s="27">
        <f>ROUND('Форма 4а'!E259*'Базовые цены за единицу'!U20,2)</f>
        <v>0</v>
      </c>
      <c r="V20" s="27">
        <f>ROUND('Форма 4а'!E259*'Базовые цены за единицу'!V20,2)</f>
        <v>0</v>
      </c>
      <c r="X20" s="27">
        <f>ROUND('Форма 4а'!E259*'Базовые цены за единицу'!X20,2)</f>
        <v>0</v>
      </c>
      <c r="Y20" s="27">
        <f>IF(Определители!I20="9",ROUND((C20+E20)*(Начисления!M20/100)*('Форма 4а'!F274/100),2),0)</f>
        <v>0</v>
      </c>
      <c r="Z20" s="27">
        <f>IF(Определители!I20="9",ROUND((C20+E20)*(100-Начисления!M20/100)*('Форма 4а'!F274/100),2),0)</f>
        <v>0</v>
      </c>
      <c r="AA20" s="27">
        <f>IF(Определители!I20="9",ROUND((C20+E20)*(Начисления!M20/100)*('Форма 4а'!F277/100),2),0)</f>
        <v>0</v>
      </c>
      <c r="AB20" s="27">
        <f>IF(Определители!I20="9",ROUND((C20+E20)*(100-Начисления!M20/100)*('Форма 4а'!F277/100),2),0)</f>
        <v>0</v>
      </c>
      <c r="AC20" s="27">
        <f>IF(Определители!I20="9",ROUND(B20*Начисления!M20/100,2),0)</f>
        <v>0</v>
      </c>
      <c r="AD20" s="27">
        <f>IF(Определители!I20="9",ROUND(B20*(100-Начисления!M20)/100,2),0)</f>
        <v>0</v>
      </c>
      <c r="AE20" s="27">
        <f>ROUND('Форма 4а'!E259*'Базовые цены за единицу'!AE20,2)</f>
        <v>0</v>
      </c>
      <c r="AH20" s="27">
        <f>ROUND('Форма 4а'!E259*'Базовые цены за единицу'!AH20,2)</f>
        <v>0</v>
      </c>
      <c r="AI20" s="27">
        <f>ROUND('Форма 4а'!E259*'Базовые цены за единицу'!AI20,2)</f>
        <v>0</v>
      </c>
      <c r="AJ20" s="27">
        <f>ROUND('Форма 4а'!E259*'Базовые цены за единицу'!AJ20,2)</f>
        <v>0</v>
      </c>
      <c r="AK20" s="27">
        <f>ROUND('Форма 4а'!E259*'Базовые цены за единицу'!AK20,2)</f>
        <v>0</v>
      </c>
    </row>
    <row r="21" spans="1:37" ht="10.5">
      <c r="A21" s="27"/>
      <c r="B21" s="27">
        <f t="shared" si="0"/>
        <v>305.24</v>
      </c>
      <c r="C21" s="27">
        <f>ROUND('Форма 4а'!E282*'Базовые цены за единицу'!C21,2)</f>
        <v>6.44</v>
      </c>
      <c r="D21" s="27">
        <f>ROUND('Форма 4а'!E282*'Базовые цены за единицу'!D21,2)</f>
        <v>2.02</v>
      </c>
      <c r="E21" s="27">
        <f>ROUND('Форма 4а'!E282*'Базовые цены за единицу'!E21,2)</f>
        <v>0.29</v>
      </c>
      <c r="F21" s="27">
        <f>ROUND('Форма 4а'!E282*'Базовые цены за единицу'!F21,2)</f>
        <v>296.78</v>
      </c>
      <c r="G21" s="27">
        <f>ROUND('Форма 4а'!E282*'Базовые цены за единицу'!G21,2)</f>
        <v>275.25</v>
      </c>
      <c r="H21" s="27">
        <f>ROUND('Форма 4а'!E282*'Базовые цены за единицу'!H21,2)</f>
        <v>0</v>
      </c>
      <c r="I21" s="31">
        <f>ОКРУГЛВСЕ('Форма 4а'!E282*'Базовые цены за единицу'!I21,8)</f>
        <v>0.7268</v>
      </c>
      <c r="J21" s="28">
        <f>ОКРУГЛВСЕ('Форма 4а'!E282*'Базовые цены за единицу'!J21,8)</f>
        <v>0</v>
      </c>
      <c r="K21" s="31">
        <f>ОКРУГЛВСЕ('Форма 4а'!E282*'Базовые цены за единицу'!K21,8)</f>
        <v>0.02375</v>
      </c>
      <c r="L21" s="27">
        <f>ROUND('Форма 4а'!E282*'Базовые цены за единицу'!L21,2)</f>
        <v>0</v>
      </c>
      <c r="M21" s="27">
        <f>ROUND('Форма 4а'!E282*'Базовые цены за единицу'!M21,2)</f>
        <v>0</v>
      </c>
      <c r="N21" s="27">
        <f>ROUND((C21+E21)*'Форма 4а'!F297/100,2)</f>
        <v>6.36</v>
      </c>
      <c r="O21" s="27">
        <f>ROUND((C21+E21)*'Форма 4а'!F300/100,2)</f>
        <v>3.72</v>
      </c>
      <c r="P21" s="27">
        <f>ROUND('Форма 4а'!E282*'Базовые цены за единицу'!P21,2)</f>
        <v>6.09</v>
      </c>
      <c r="Q21" s="27">
        <f>ROUND('Форма 4а'!E282*'Базовые цены за единицу'!Q21,2)</f>
        <v>0.28</v>
      </c>
      <c r="R21" s="27">
        <f>ROUND('Форма 4а'!E282*'Базовые цены за единицу'!R21,2)</f>
        <v>3.56</v>
      </c>
      <c r="S21" s="27">
        <f>ROUND('Форма 4а'!E282*'Базовые цены за единицу'!S21,2)</f>
        <v>0.16</v>
      </c>
      <c r="T21" s="27">
        <f>ROUND('Форма 4а'!E282*'Базовые цены за единицу'!T21,2)</f>
        <v>0</v>
      </c>
      <c r="U21" s="27">
        <f>ROUND('Форма 4а'!E282*'Базовые цены за единицу'!U21,2)</f>
        <v>0</v>
      </c>
      <c r="V21" s="27">
        <f>ROUND('Форма 4а'!E282*'Базовые цены за единицу'!V21,2)</f>
        <v>0</v>
      </c>
      <c r="X21" s="27">
        <f>ROUND('Форма 4а'!E282*'Базовые цены за единицу'!X21,2)</f>
        <v>0</v>
      </c>
      <c r="Y21" s="27">
        <f>IF(Определители!I21="9",ROUND((C21+E21)*(Начисления!M21/100)*('Форма 4а'!F297/100),2),0)</f>
        <v>0</v>
      </c>
      <c r="Z21" s="27">
        <f>IF(Определители!I21="9",ROUND((C21+E21)*(100-Начисления!M21/100)*('Форма 4а'!F297/100),2),0)</f>
        <v>0</v>
      </c>
      <c r="AA21" s="27">
        <f>IF(Определители!I21="9",ROUND((C21+E21)*(Начисления!M21/100)*('Форма 4а'!F300/100),2),0)</f>
        <v>0</v>
      </c>
      <c r="AB21" s="27">
        <f>IF(Определители!I21="9",ROUND((C21+E21)*(100-Начисления!M21/100)*('Форма 4а'!F300/100),2),0)</f>
        <v>0</v>
      </c>
      <c r="AC21" s="27">
        <f>IF(Определители!I21="9",ROUND(B21*Начисления!M21/100,2),0)</f>
        <v>0</v>
      </c>
      <c r="AD21" s="27">
        <f>IF(Определители!I21="9",ROUND(B21*(100-Начисления!M21)/100,2),0)</f>
        <v>0</v>
      </c>
      <c r="AE21" s="27">
        <f>ROUND('Форма 4а'!E282*'Базовые цены за единицу'!AE21,2)</f>
        <v>0</v>
      </c>
      <c r="AH21" s="27">
        <f>ROUND('Форма 4а'!E282*'Базовые цены за единицу'!AH21,2)</f>
        <v>0</v>
      </c>
      <c r="AI21" s="27">
        <f>ROUND('Форма 4а'!E282*'Базовые цены за единицу'!AI21,2)</f>
        <v>0</v>
      </c>
      <c r="AJ21" s="27">
        <f>ROUND('Форма 4а'!E282*'Базовые цены за единицу'!AJ21,2)</f>
        <v>0</v>
      </c>
      <c r="AK21" s="27">
        <f>ROUND('Форма 4а'!E282*'Базовые цены за единицу'!AK21,2)</f>
        <v>0</v>
      </c>
    </row>
    <row r="22" spans="1:37" ht="10.5">
      <c r="A22" s="27"/>
      <c r="B22" s="27">
        <f t="shared" si="0"/>
        <v>3011.06</v>
      </c>
      <c r="C22" s="27">
        <f>ROUND('Форма 4а'!E305*'Базовые цены за единицу'!C22,2)</f>
        <v>150.73</v>
      </c>
      <c r="D22" s="27">
        <f>ROUND('Форма 4а'!E305*'Базовые цены за единицу'!D22,2)</f>
        <v>2.03</v>
      </c>
      <c r="E22" s="27">
        <f>ROUND('Форма 4а'!E305*'Базовые цены за единицу'!E22,2)</f>
        <v>0.65</v>
      </c>
      <c r="F22" s="27">
        <f>ROUND('Форма 4а'!E305*'Базовые цены за единицу'!F22,2)</f>
        <v>2858.3</v>
      </c>
      <c r="G22" s="27">
        <f>ROUND('Форма 4а'!E305*'Базовые цены за единицу'!G22,2)</f>
        <v>0</v>
      </c>
      <c r="H22" s="27">
        <f>ROUND('Форма 4а'!E305*'Базовые цены за единицу'!H22,2)</f>
        <v>0</v>
      </c>
      <c r="I22" s="31">
        <f>ОКРУГЛВСЕ('Форма 4а'!E305*'Базовые цены за единицу'!I22,8)</f>
        <v>17.66975</v>
      </c>
      <c r="J22" s="28">
        <f>ОКРУГЛВСЕ('Форма 4а'!E305*'Базовые цены за единицу'!J22,8)</f>
        <v>0</v>
      </c>
      <c r="K22" s="31">
        <f>ОКРУГЛВСЕ('Форма 4а'!E305*'Базовые цены за единицу'!K22,8)</f>
        <v>0.05625</v>
      </c>
      <c r="L22" s="27">
        <f>ROUND('Форма 4а'!E305*'Базовые цены за единицу'!L22,2)</f>
        <v>0</v>
      </c>
      <c r="M22" s="27">
        <f>ROUND('Форма 4а'!E305*'Базовые цены за единицу'!M22,2)</f>
        <v>0</v>
      </c>
      <c r="N22" s="27">
        <f>ROUND((C22+E22)*'Форма 4а'!F319/100,2)</f>
        <v>167.58</v>
      </c>
      <c r="O22" s="27">
        <f>ROUND((C22+E22)*'Форма 4а'!F322/100,2)</f>
        <v>96.5</v>
      </c>
      <c r="P22" s="27">
        <f>ROUND('Форма 4а'!E305*'Базовые цены за единицу'!P22,2)</f>
        <v>166.85</v>
      </c>
      <c r="Q22" s="27">
        <f>ROUND('Форма 4а'!E305*'Базовые цены за единицу'!Q22,2)</f>
        <v>0.72</v>
      </c>
      <c r="R22" s="27">
        <f>ROUND('Форма 4а'!E305*'Базовые цены за единицу'!R22,2)</f>
        <v>96.09</v>
      </c>
      <c r="S22" s="27">
        <f>ROUND('Форма 4а'!E305*'Базовые цены за единицу'!S22,2)</f>
        <v>0.41</v>
      </c>
      <c r="T22" s="27">
        <f>ROUND('Форма 4а'!E305*'Базовые цены за единицу'!T22,2)</f>
        <v>0</v>
      </c>
      <c r="U22" s="27">
        <f>ROUND('Форма 4а'!E305*'Базовые цены за единицу'!U22,2)</f>
        <v>0</v>
      </c>
      <c r="V22" s="27">
        <f>ROUND('Форма 4а'!E305*'Базовые цены за единицу'!V22,2)</f>
        <v>0</v>
      </c>
      <c r="X22" s="27">
        <f>ROUND('Форма 4а'!E305*'Базовые цены за единицу'!X22,2)</f>
        <v>0</v>
      </c>
      <c r="Y22" s="27">
        <f>IF(Определители!I22="9",ROUND((C22+E22)*(Начисления!M22/100)*('Форма 4а'!F319/100),2),0)</f>
        <v>0</v>
      </c>
      <c r="Z22" s="27">
        <f>IF(Определители!I22="9",ROUND((C22+E22)*(100-Начисления!M22/100)*('Форма 4а'!F319/100),2),0)</f>
        <v>0</v>
      </c>
      <c r="AA22" s="27">
        <f>IF(Определители!I22="9",ROUND((C22+E22)*(Начисления!M22/100)*('Форма 4а'!F322/100),2),0)</f>
        <v>0</v>
      </c>
      <c r="AB22" s="27">
        <f>IF(Определители!I22="9",ROUND((C22+E22)*(100-Начисления!M22/100)*('Форма 4а'!F322/100),2),0)</f>
        <v>0</v>
      </c>
      <c r="AC22" s="27">
        <f>IF(Определители!I22="9",ROUND(B22*Начисления!M22/100,2),0)</f>
        <v>0</v>
      </c>
      <c r="AD22" s="27">
        <f>IF(Определители!I22="9",ROUND(B22*(100-Начисления!M22)/100,2),0)</f>
        <v>0</v>
      </c>
      <c r="AE22" s="27">
        <f>ROUND('Форма 4а'!E305*'Базовые цены за единицу'!AE22,2)</f>
        <v>0</v>
      </c>
      <c r="AH22" s="27">
        <f>ROUND('Форма 4а'!E305*'Базовые цены за единицу'!AH22,2)</f>
        <v>0</v>
      </c>
      <c r="AI22" s="27">
        <f>ROUND('Форма 4а'!E305*'Базовые цены за единицу'!AI22,2)</f>
        <v>0</v>
      </c>
      <c r="AJ22" s="27">
        <f>ROUND('Форма 4а'!E305*'Базовые цены за единицу'!AJ22,2)</f>
        <v>0</v>
      </c>
      <c r="AK22" s="27">
        <f>ROUND('Форма 4а'!E305*'Базовые цены за единицу'!AK22,2)</f>
        <v>0</v>
      </c>
    </row>
    <row r="23" spans="1:37" ht="10.5">
      <c r="A23" s="27"/>
      <c r="B23" s="27">
        <f t="shared" si="0"/>
        <v>11170.72</v>
      </c>
      <c r="C23" s="27">
        <f>ROUND('Форма 4а'!E327*'Базовые цены за единицу'!C23,2)</f>
        <v>1560.02</v>
      </c>
      <c r="D23" s="27">
        <f>ROUND('Форма 4а'!E327*'Базовые цены за единицу'!D23,2)</f>
        <v>15.1</v>
      </c>
      <c r="E23" s="27">
        <f>ROUND('Форма 4а'!E327*'Базовые цены за единицу'!E23,2)</f>
        <v>10.95</v>
      </c>
      <c r="F23" s="27">
        <f>ROUND('Форма 4а'!E327*'Базовые цены за единицу'!F23,2)</f>
        <v>9595.6</v>
      </c>
      <c r="G23" s="27">
        <f>ROUND('Форма 4а'!E327*'Базовые цены за единицу'!G23,2)</f>
        <v>171.74</v>
      </c>
      <c r="H23" s="27">
        <f>ROUND('Форма 4а'!E327*'Базовые цены за единицу'!H23,2)</f>
        <v>0</v>
      </c>
      <c r="I23" s="31">
        <f>ОКРУГЛВСЕ('Форма 4а'!E327*'Базовые цены за единицу'!I23,8)</f>
        <v>178.4915</v>
      </c>
      <c r="J23" s="28">
        <f>ОКРУГЛВСЕ('Форма 4а'!E327*'Базовые цены за единицу'!J23,8)</f>
        <v>0</v>
      </c>
      <c r="K23" s="31">
        <f>ОКРУГЛВСЕ('Форма 4а'!E327*'Базовые цены за единицу'!K23,8)</f>
        <v>1.08125</v>
      </c>
      <c r="L23" s="27">
        <f>ROUND('Форма 4а'!E327*'Базовые цены за единицу'!L23,2)</f>
        <v>0</v>
      </c>
      <c r="M23" s="27">
        <f>ROUND('Форма 4а'!E327*'Базовые цены за единицу'!M23,2)</f>
        <v>0</v>
      </c>
      <c r="N23" s="27">
        <f>ROUND((C23+E23)*'Форма 4а'!F341/100,2)</f>
        <v>1739.06</v>
      </c>
      <c r="O23" s="27">
        <f>ROUND((C23+E23)*'Форма 4а'!F344/100,2)</f>
        <v>1001.49</v>
      </c>
      <c r="P23" s="27">
        <f>ROUND('Форма 4а'!E327*'Базовые цены за единицу'!P23,2)</f>
        <v>1726.94</v>
      </c>
      <c r="Q23" s="27">
        <f>ROUND('Форма 4а'!E327*'Базовые цены за единицу'!Q23,2)</f>
        <v>12.12</v>
      </c>
      <c r="R23" s="27">
        <f>ROUND('Форма 4а'!E327*'Базовые цены за единицу'!R23,2)</f>
        <v>994.51</v>
      </c>
      <c r="S23" s="27">
        <f>ROUND('Форма 4а'!E327*'Базовые цены за единицу'!S23,2)</f>
        <v>6.98</v>
      </c>
      <c r="T23" s="27">
        <f>ROUND('Форма 4а'!E327*'Базовые цены за единицу'!T23,2)</f>
        <v>0</v>
      </c>
      <c r="U23" s="27">
        <f>ROUND('Форма 4а'!E327*'Базовые цены за единицу'!U23,2)</f>
        <v>0</v>
      </c>
      <c r="V23" s="27">
        <f>ROUND('Форма 4а'!E327*'Базовые цены за единицу'!V23,2)</f>
        <v>0</v>
      </c>
      <c r="X23" s="27">
        <f>ROUND('Форма 4а'!E327*'Базовые цены за единицу'!X23,2)</f>
        <v>0</v>
      </c>
      <c r="Y23" s="27">
        <f>IF(Определители!I23="9",ROUND((C23+E23)*(Начисления!M23/100)*('Форма 4а'!F341/100),2),0)</f>
        <v>0</v>
      </c>
      <c r="Z23" s="27">
        <f>IF(Определители!I23="9",ROUND((C23+E23)*(100-Начисления!M23/100)*('Форма 4а'!F341/100),2),0)</f>
        <v>0</v>
      </c>
      <c r="AA23" s="27">
        <f>IF(Определители!I23="9",ROUND((C23+E23)*(Начисления!M23/100)*('Форма 4а'!F344/100),2),0)</f>
        <v>0</v>
      </c>
      <c r="AB23" s="27">
        <f>IF(Определители!I23="9",ROUND((C23+E23)*(100-Начисления!M23/100)*('Форма 4а'!F344/100),2),0)</f>
        <v>0</v>
      </c>
      <c r="AC23" s="27">
        <f>IF(Определители!I23="9",ROUND(B23*Начисления!M23/100,2),0)</f>
        <v>0</v>
      </c>
      <c r="AD23" s="27">
        <f>IF(Определители!I23="9",ROUND(B23*(100-Начисления!M23)/100,2),0)</f>
        <v>0</v>
      </c>
      <c r="AE23" s="27">
        <f>ROUND('Форма 4а'!E327*'Базовые цены за единицу'!AE23,2)</f>
        <v>0</v>
      </c>
      <c r="AH23" s="27">
        <f>ROUND('Форма 4а'!E327*'Базовые цены за единицу'!AH23,2)</f>
        <v>0</v>
      </c>
      <c r="AI23" s="27">
        <f>ROUND('Форма 4а'!E327*'Базовые цены за единицу'!AI23,2)</f>
        <v>0</v>
      </c>
      <c r="AJ23" s="27">
        <f>ROUND('Форма 4а'!E327*'Базовые цены за единицу'!AJ23,2)</f>
        <v>0</v>
      </c>
      <c r="AK23" s="27">
        <f>ROUND('Форма 4а'!E327*'Базовые цены за единицу'!AK23,2)</f>
        <v>0</v>
      </c>
    </row>
    <row r="24" spans="1:37" ht="10.5">
      <c r="A24" s="27"/>
      <c r="B24" s="27">
        <f t="shared" si="0"/>
        <v>114.36</v>
      </c>
      <c r="C24" s="27">
        <f>ROUND('Форма 4а'!E349*'Базовые цены за единицу'!C24,2)</f>
        <v>78.15</v>
      </c>
      <c r="D24" s="27">
        <f>ROUND('Форма 4а'!E349*'Базовые цены за единицу'!D24,2)</f>
        <v>2.06</v>
      </c>
      <c r="E24" s="27">
        <f>ROUND('Форма 4а'!E349*'Базовые цены за единицу'!E24,2)</f>
        <v>0.52</v>
      </c>
      <c r="F24" s="27">
        <f>ROUND('Форма 4а'!E349*'Базовые цены за единицу'!F24,2)</f>
        <v>34.15</v>
      </c>
      <c r="G24" s="27">
        <f>ROUND('Форма 4а'!E349*'Базовые цены за единицу'!G24,2)</f>
        <v>30.37</v>
      </c>
      <c r="H24" s="27">
        <f>ROUND('Форма 4а'!E349*'Базовые цены за единицу'!H24,2)</f>
        <v>0</v>
      </c>
      <c r="I24" s="31">
        <f>ОКРУГЛВСЕ('Форма 4а'!E349*'Базовые цены за единицу'!I24,8)</f>
        <v>8.2179</v>
      </c>
      <c r="J24" s="28">
        <f>ОКРУГЛВСЕ('Форма 4а'!E349*'Базовые цены за единицу'!J24,8)</f>
        <v>0</v>
      </c>
      <c r="K24" s="31">
        <f>ОКРУГЛВСЕ('Форма 4а'!E349*'Базовые цены за единицу'!K24,8)</f>
        <v>0.04125</v>
      </c>
      <c r="L24" s="27">
        <f>ROUND('Форма 4а'!E349*'Базовые цены за единицу'!L24,2)</f>
        <v>0</v>
      </c>
      <c r="M24" s="27">
        <f>ROUND('Форма 4а'!E349*'Базовые цены за единицу'!M24,2)</f>
        <v>0</v>
      </c>
      <c r="N24" s="27">
        <f>ROUND((C24+E24)*'Форма 4а'!F365/100,2)</f>
        <v>87.09</v>
      </c>
      <c r="O24" s="27">
        <f>ROUND((C24+E24)*'Форма 4а'!F368/100,2)</f>
        <v>50.15</v>
      </c>
      <c r="P24" s="27">
        <f>ROUND('Форма 4а'!E349*'Базовые цены за единицу'!P24,2)</f>
        <v>86.52</v>
      </c>
      <c r="Q24" s="27">
        <f>ROUND('Форма 4а'!E349*'Базовые цены за единицу'!Q24,2)</f>
        <v>0.57</v>
      </c>
      <c r="R24" s="27">
        <f>ROUND('Форма 4а'!E349*'Базовые цены за единицу'!R24,2)</f>
        <v>49.82</v>
      </c>
      <c r="S24" s="27">
        <f>ROUND('Форма 4а'!E349*'Базовые цены за единицу'!S24,2)</f>
        <v>0.33</v>
      </c>
      <c r="T24" s="27">
        <f>ROUND('Форма 4а'!E349*'Базовые цены за единицу'!T24,2)</f>
        <v>0</v>
      </c>
      <c r="U24" s="27">
        <f>ROUND('Форма 4а'!E349*'Базовые цены за единицу'!U24,2)</f>
        <v>0</v>
      </c>
      <c r="V24" s="27">
        <f>ROUND('Форма 4а'!E349*'Базовые цены за единицу'!V24,2)</f>
        <v>0</v>
      </c>
      <c r="X24" s="27">
        <f>ROUND('Форма 4а'!E349*'Базовые цены за единицу'!X24,2)</f>
        <v>0</v>
      </c>
      <c r="Y24" s="27">
        <f>IF(Определители!I24="9",ROUND((C24+E24)*(Начисления!M24/100)*('Форма 4а'!F365/100),2),0)</f>
        <v>0</v>
      </c>
      <c r="Z24" s="27">
        <f>IF(Определители!I24="9",ROUND((C24+E24)*(100-Начисления!M24/100)*('Форма 4а'!F365/100),2),0)</f>
        <v>0</v>
      </c>
      <c r="AA24" s="27">
        <f>IF(Определители!I24="9",ROUND((C24+E24)*(Начисления!M24/100)*('Форма 4а'!F368/100),2),0)</f>
        <v>0</v>
      </c>
      <c r="AB24" s="27">
        <f>IF(Определители!I24="9",ROUND((C24+E24)*(100-Начисления!M24/100)*('Форма 4а'!F368/100),2),0)</f>
        <v>0</v>
      </c>
      <c r="AC24" s="27">
        <f>IF(Определители!I24="9",ROUND(B24*Начисления!M24/100,2),0)</f>
        <v>0</v>
      </c>
      <c r="AD24" s="27">
        <f>IF(Определители!I24="9",ROUND(B24*(100-Начисления!M24)/100,2),0)</f>
        <v>0</v>
      </c>
      <c r="AE24" s="27">
        <f>ROUND('Форма 4а'!E349*'Базовые цены за единицу'!AE24,2)</f>
        <v>0</v>
      </c>
      <c r="AH24" s="27">
        <f>ROUND('Форма 4а'!E349*'Базовые цены за единицу'!AH24,2)</f>
        <v>0</v>
      </c>
      <c r="AI24" s="27">
        <f>ROUND('Форма 4а'!E349*'Базовые цены за единицу'!AI24,2)</f>
        <v>0</v>
      </c>
      <c r="AJ24" s="27">
        <f>ROUND('Форма 4а'!E349*'Базовые цены за единицу'!AJ24,2)</f>
        <v>0</v>
      </c>
      <c r="AK24" s="27">
        <f>ROUND('Форма 4а'!E349*'Базовые цены за единицу'!AK24,2)</f>
        <v>0</v>
      </c>
    </row>
  </sheetData>
  <sheetProtection/>
  <mergeCells count="6">
    <mergeCell ref="B7:L8"/>
    <mergeCell ref="B14:L15"/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K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8" customWidth="1"/>
    <col min="2" max="16384" width="9.140625" style="27" customWidth="1"/>
  </cols>
  <sheetData>
    <row r="1" spans="1:37" s="29" customFormat="1" ht="10.5">
      <c r="A1" s="5"/>
      <c r="B1" s="29" t="s">
        <v>175</v>
      </c>
      <c r="C1" s="29" t="s">
        <v>176</v>
      </c>
      <c r="D1" s="29" t="s">
        <v>177</v>
      </c>
      <c r="E1" s="29" t="s">
        <v>178</v>
      </c>
      <c r="F1" s="29" t="s">
        <v>179</v>
      </c>
      <c r="G1" s="29" t="s">
        <v>180</v>
      </c>
      <c r="H1" s="29" t="s">
        <v>181</v>
      </c>
      <c r="I1" s="29" t="s">
        <v>182</v>
      </c>
      <c r="J1" s="29" t="s">
        <v>183</v>
      </c>
      <c r="K1" s="29" t="s">
        <v>184</v>
      </c>
      <c r="L1" s="29" t="s">
        <v>185</v>
      </c>
      <c r="M1" s="29" t="s">
        <v>186</v>
      </c>
      <c r="N1" s="29" t="s">
        <v>187</v>
      </c>
      <c r="O1" s="29" t="s">
        <v>188</v>
      </c>
      <c r="P1" s="29" t="s">
        <v>189</v>
      </c>
      <c r="Q1" s="29" t="s">
        <v>190</v>
      </c>
      <c r="R1" s="29" t="s">
        <v>191</v>
      </c>
      <c r="S1" s="29" t="s">
        <v>192</v>
      </c>
      <c r="T1" s="29" t="s">
        <v>193</v>
      </c>
      <c r="U1" s="29" t="s">
        <v>194</v>
      </c>
      <c r="V1" s="29" t="s">
        <v>195</v>
      </c>
      <c r="X1" s="29" t="s">
        <v>196</v>
      </c>
      <c r="Y1" s="29" t="s">
        <v>197</v>
      </c>
      <c r="Z1" s="29" t="s">
        <v>198</v>
      </c>
      <c r="AA1" s="29" t="s">
        <v>199</v>
      </c>
      <c r="AB1" s="29" t="s">
        <v>200</v>
      </c>
      <c r="AC1" s="29" t="s">
        <v>201</v>
      </c>
      <c r="AD1" s="29" t="s">
        <v>202</v>
      </c>
      <c r="AE1" s="29" t="s">
        <v>203</v>
      </c>
      <c r="AF1" s="29" t="s">
        <v>204</v>
      </c>
      <c r="AG1" s="29" t="s">
        <v>205</v>
      </c>
      <c r="AH1" s="29" t="s">
        <v>206</v>
      </c>
      <c r="AI1" s="29" t="s">
        <v>207</v>
      </c>
      <c r="AJ1" s="29" t="s">
        <v>208</v>
      </c>
      <c r="AK1" s="29" t="s">
        <v>209</v>
      </c>
    </row>
    <row r="2" spans="1:12" ht="10.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0.5">
      <c r="A3" s="30"/>
      <c r="B3" s="49" t="s">
        <v>210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0.5">
      <c r="A4" s="30"/>
      <c r="B4" s="49" t="s">
        <v>211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0.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7" spans="2:12" ht="10.5">
      <c r="B7" s="41" t="s">
        <v>24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2:12" ht="10.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37" ht="10.5">
      <c r="A9" s="27"/>
      <c r="B9" s="27">
        <f>ROUND(C9+D9+F9+AF9+AG9,2)</f>
        <v>231.34</v>
      </c>
      <c r="C9" s="27">
        <f>ROUND('Форма 4а'!E23*'Текущие цены за единицу'!C9,2)</f>
        <v>231.34</v>
      </c>
      <c r="D9" s="27">
        <f>ROUND('Форма 4а'!E23*'Текущие цены за единицу'!D9,2)</f>
        <v>0</v>
      </c>
      <c r="E9" s="27">
        <f>ROUND('Форма 4а'!E23*'Текущие цены за единицу'!E9,2)</f>
        <v>0</v>
      </c>
      <c r="F9" s="27">
        <f>ROUND('Форма 4а'!E23*'Текущие цены за единицу'!F9,2)</f>
        <v>0</v>
      </c>
      <c r="G9" s="27">
        <f>ROUND('Форма 4а'!E23*'Текущие цены за единицу'!G9,2)</f>
        <v>0</v>
      </c>
      <c r="H9" s="27">
        <f>ROUND('Форма 4а'!E23*'Текущие цены за единицу'!H9,2)</f>
        <v>0</v>
      </c>
      <c r="I9" s="31">
        <f>ОКРУГЛВСЕ('Форма 4а'!E23*'Текущие цены за единицу'!I9,8)</f>
        <v>1.131</v>
      </c>
      <c r="J9" s="28">
        <f>ОКРУГЛВСЕ('Форма 4а'!E23*'Текущие цены за единицу'!J9,8)</f>
        <v>0</v>
      </c>
      <c r="K9" s="31">
        <f>ОКРУГЛВСЕ('Форма 4а'!E23*'Текущие цены за единицу'!K9,8)</f>
        <v>0</v>
      </c>
      <c r="L9" s="27">
        <f>ROUND('Форма 4а'!E23*'Текущие цены за единицу'!L9,2)</f>
        <v>0</v>
      </c>
      <c r="M9" s="27">
        <f>ROUND('Форма 4а'!E23*'Текущие цены за единицу'!M9,2)</f>
        <v>0</v>
      </c>
      <c r="N9" s="27">
        <f>ROUND((C9+E9)*'Форма 4а'!J35/100,2)</f>
        <v>185.07</v>
      </c>
      <c r="O9" s="27">
        <f>ROUND((C9+E9)*'Форма 4а'!J38/100,2)</f>
        <v>157.31</v>
      </c>
      <c r="P9" s="27">
        <f>ROUND('Форма 4а'!E23*'Текущие цены за единицу'!P9,2)</f>
        <v>185.07</v>
      </c>
      <c r="Q9" s="27">
        <f>ROUND('Форма 4а'!E23*'Текущие цены за единицу'!Q9,2)</f>
        <v>0</v>
      </c>
      <c r="R9" s="27">
        <f>ROUND('Форма 4а'!E23*'Текущие цены за единицу'!R9,2)</f>
        <v>157.31</v>
      </c>
      <c r="S9" s="27">
        <f>ROUND('Форма 4а'!E23*'Текущие цены за единицу'!S9,2)</f>
        <v>0</v>
      </c>
      <c r="T9" s="27">
        <f>ROUND('Форма 4а'!E23*'Текущие цены за единицу'!T9,2)</f>
        <v>0</v>
      </c>
      <c r="U9" s="27">
        <f>ROUND('Форма 4а'!E23*'Текущие цены за единицу'!U9,2)</f>
        <v>0</v>
      </c>
      <c r="V9" s="27">
        <f>ROUND('Форма 4а'!E23*'Текущие цены за единицу'!V9,2)</f>
        <v>0</v>
      </c>
      <c r="X9" s="27">
        <f>ROUND('Форма 4а'!E23*'Текущие цены за единицу'!X9,2)</f>
        <v>0</v>
      </c>
      <c r="Y9" s="27">
        <f>IF(Определители!I9="9",ROUND((C9+E9)*(Начисления!M9/100)*('Форма 4а'!J35/100),2),0)</f>
        <v>0</v>
      </c>
      <c r="Z9" s="27">
        <f>IF(Определители!I9="9",ROUND((C9+E9)*(100-Начисления!M9/100)*('Форма 4а'!J35/100),2),0)</f>
        <v>0</v>
      </c>
      <c r="AA9" s="27">
        <f>IF(Определители!I9="9",ROUND((C9+E9)*(Начисления!M9/100)*('Форма 4а'!J38/100),2),0)</f>
        <v>0</v>
      </c>
      <c r="AB9" s="27">
        <f>IF(Определители!I9="9",ROUND((C9+E9)*(100-Начисления!M9/100)*('Форма 4а'!J38/100),2),0)</f>
        <v>0</v>
      </c>
      <c r="AC9" s="27">
        <f>IF(Определители!I9="9",ROUND(B9*Начисления!M9/100,2),0)</f>
        <v>0</v>
      </c>
      <c r="AD9" s="27">
        <f>IF(Определители!I9="9",ROUND(B9*(100-Начисления!M9)/100,2),0)</f>
        <v>0</v>
      </c>
      <c r="AE9" s="27">
        <f>ROUND('Форма 4а'!E23*'Текущие цены за единицу'!AE9,2)</f>
        <v>0</v>
      </c>
      <c r="AH9" s="27">
        <f>ROUND('Форма 4а'!E23*'Текущие цены за единицу'!AH9,2)</f>
        <v>0</v>
      </c>
      <c r="AI9" s="27">
        <f>ROUND('Форма 4а'!E23*'Текущие цены за единицу'!AI9,2)</f>
        <v>0</v>
      </c>
      <c r="AJ9" s="27">
        <f>ROUND('Форма 4а'!E23*'Текущие цены за единицу'!AJ9,2)</f>
        <v>0</v>
      </c>
      <c r="AK9" s="27">
        <f>ROUND('Форма 4а'!E23*'Текущие цены за единицу'!AK9,2)</f>
        <v>0</v>
      </c>
    </row>
    <row r="10" spans="1:37" ht="10.5">
      <c r="A10" s="27"/>
      <c r="B10" s="27">
        <f>ROUND(C10+D10+F10+AF10+AG10,2)</f>
        <v>1190.13</v>
      </c>
      <c r="C10" s="27">
        <f>ROUND('Форма 4а'!E43*'Текущие цены за единицу'!C10,2)</f>
        <v>1164.69</v>
      </c>
      <c r="D10" s="27">
        <f>ROUND('Форма 4а'!E43*'Текущие цены за единицу'!D10,2)</f>
        <v>25.44</v>
      </c>
      <c r="E10" s="27">
        <f>ROUND('Форма 4а'!E43*'Текущие цены за единицу'!E10,2)</f>
        <v>23.08</v>
      </c>
      <c r="F10" s="27">
        <f>ROUND('Форма 4а'!E43*'Текущие цены за единицу'!F10,2)</f>
        <v>0</v>
      </c>
      <c r="G10" s="27">
        <f>ROUND('Форма 4а'!E43*'Текущие цены за единицу'!G10,2)</f>
        <v>0</v>
      </c>
      <c r="H10" s="27">
        <f>ROUND('Форма 4а'!E43*'Текущие цены за единицу'!H10,2)</f>
        <v>0</v>
      </c>
      <c r="I10" s="31">
        <f>ОКРУГЛВСЕ('Форма 4а'!E43*'Текущие цены за единицу'!I10,8)</f>
        <v>5.695</v>
      </c>
      <c r="J10" s="28">
        <f>ОКРУГЛВСЕ('Форма 4а'!E43*'Текущие цены за единицу'!J10,8)</f>
        <v>0</v>
      </c>
      <c r="K10" s="31">
        <f>ОКРУГЛВСЕ('Форма 4а'!E43*'Текущие цены за единицу'!K10,8)</f>
        <v>0.065</v>
      </c>
      <c r="L10" s="27">
        <f>ROUND('Форма 4а'!E43*'Текущие цены за единицу'!L10,2)</f>
        <v>0</v>
      </c>
      <c r="M10" s="27">
        <f>ROUND('Форма 4а'!E43*'Текущие цены за единицу'!M10,2)</f>
        <v>0</v>
      </c>
      <c r="N10" s="27">
        <f>ROUND((C10+E10)*'Форма 4а'!J57/100,2)</f>
        <v>950.22</v>
      </c>
      <c r="O10" s="27">
        <f>ROUND((C10+E10)*'Форма 4а'!J60/100,2)</f>
        <v>807.68</v>
      </c>
      <c r="P10" s="27">
        <f>ROUND('Форма 4а'!E43*'Текущие цены за единицу'!P10,2)</f>
        <v>931.75</v>
      </c>
      <c r="Q10" s="27">
        <f>ROUND('Форма 4а'!E43*'Текущие цены за единицу'!Q10,2)</f>
        <v>18.46</v>
      </c>
      <c r="R10" s="27">
        <f>ROUND('Форма 4а'!E43*'Текущие цены за единицу'!R10,2)</f>
        <v>791.99</v>
      </c>
      <c r="S10" s="27">
        <f>ROUND('Форма 4а'!E43*'Текущие цены за единицу'!S10,2)</f>
        <v>15.69</v>
      </c>
      <c r="T10" s="27">
        <f>ROUND('Форма 4а'!E43*'Текущие цены за единицу'!T10,2)</f>
        <v>0</v>
      </c>
      <c r="U10" s="27">
        <f>ROUND('Форма 4а'!E43*'Текущие цены за единицу'!U10,2)</f>
        <v>0</v>
      </c>
      <c r="V10" s="27">
        <f>ROUND('Форма 4а'!E43*'Текущие цены за единицу'!V10,2)</f>
        <v>0</v>
      </c>
      <c r="X10" s="27">
        <f>ROUND('Форма 4а'!E43*'Текущие цены за единицу'!X10,2)</f>
        <v>0</v>
      </c>
      <c r="Y10" s="27">
        <f>IF(Определители!I10="9",ROUND((C10+E10)*(Начисления!M10/100)*('Форма 4а'!J57/100),2),0)</f>
        <v>0</v>
      </c>
      <c r="Z10" s="27">
        <f>IF(Определители!I10="9",ROUND((C10+E10)*(100-Начисления!M10/100)*('Форма 4а'!J57/100),2),0)</f>
        <v>0</v>
      </c>
      <c r="AA10" s="27">
        <f>IF(Определители!I10="9",ROUND((C10+E10)*(Начисления!M10/100)*('Форма 4а'!J60/100),2),0)</f>
        <v>0</v>
      </c>
      <c r="AB10" s="27">
        <f>IF(Определители!I10="9",ROUND((C10+E10)*(100-Начисления!M10/100)*('Форма 4а'!J60/100),2),0)</f>
        <v>0</v>
      </c>
      <c r="AC10" s="27">
        <f>IF(Определители!I10="9",ROUND(B10*Начисления!M10/100,2),0)</f>
        <v>0</v>
      </c>
      <c r="AD10" s="27">
        <f>IF(Определители!I10="9",ROUND(B10*(100-Начисления!M10)/100,2),0)</f>
        <v>0</v>
      </c>
      <c r="AE10" s="27">
        <f>ROUND('Форма 4а'!E43*'Текущие цены за единицу'!AE10,2)</f>
        <v>0</v>
      </c>
      <c r="AH10" s="27">
        <f>ROUND('Форма 4а'!E43*'Текущие цены за единицу'!AH10,2)</f>
        <v>0</v>
      </c>
      <c r="AI10" s="27">
        <f>ROUND('Форма 4а'!E43*'Текущие цены за единицу'!AI10,2)</f>
        <v>0</v>
      </c>
      <c r="AJ10" s="27">
        <f>ROUND('Форма 4а'!E43*'Текущие цены за единицу'!AJ10,2)</f>
        <v>0</v>
      </c>
      <c r="AK10" s="27">
        <f>ROUND('Форма 4а'!E43*'Текущие цены за единицу'!AK10,2)</f>
        <v>0</v>
      </c>
    </row>
    <row r="11" spans="1:37" ht="10.5">
      <c r="A11" s="27"/>
      <c r="B11" s="27">
        <f>ROUND(C11+D11+F11+AF11+AG11,2)</f>
        <v>1523.65</v>
      </c>
      <c r="C11" s="27">
        <f>ROUND('Форма 4а'!E65*'Текущие цены за единицу'!C11,2)</f>
        <v>1523.65</v>
      </c>
      <c r="D11" s="27">
        <f>ROUND('Форма 4а'!E65*'Текущие цены за единицу'!D11,2)</f>
        <v>0</v>
      </c>
      <c r="E11" s="27">
        <f>ROUND('Форма 4а'!E65*'Текущие цены за единицу'!E11,2)</f>
        <v>0</v>
      </c>
      <c r="F11" s="27">
        <f>ROUND('Форма 4а'!E65*'Текущие цены за единицу'!F11,2)</f>
        <v>0</v>
      </c>
      <c r="G11" s="27">
        <f>ROUND('Форма 4а'!E65*'Текущие цены за единицу'!G11,2)</f>
        <v>0</v>
      </c>
      <c r="H11" s="27">
        <f>ROUND('Форма 4а'!E65*'Текущие цены за единицу'!H11,2)</f>
        <v>0</v>
      </c>
      <c r="I11" s="31">
        <f>ОКРУГЛВСЕ('Форма 4а'!E65*'Текущие цены за единицу'!I11,8)</f>
        <v>7.45</v>
      </c>
      <c r="J11" s="28">
        <f>ОКРУГЛВСЕ('Форма 4а'!E65*'Текущие цены за единицу'!J11,8)</f>
        <v>0</v>
      </c>
      <c r="K11" s="31">
        <f>ОКРУГЛВСЕ('Форма 4а'!E65*'Текущие цены за единицу'!K11,8)</f>
        <v>0</v>
      </c>
      <c r="L11" s="27">
        <f>ROUND('Форма 4а'!E65*'Текущие цены за единицу'!L11,2)</f>
        <v>0</v>
      </c>
      <c r="M11" s="27">
        <f>ROUND('Форма 4а'!E65*'Текущие цены за единицу'!M11,2)</f>
        <v>0</v>
      </c>
      <c r="N11" s="27">
        <f>ROUND((C11+E11)*'Форма 4а'!J77/100,2)</f>
        <v>1218.92</v>
      </c>
      <c r="O11" s="27">
        <f>ROUND((C11+E11)*'Форма 4а'!J80/100,2)</f>
        <v>1036.08</v>
      </c>
      <c r="P11" s="27">
        <f>ROUND('Форма 4а'!E65*'Текущие цены за единицу'!P11,2)</f>
        <v>1218.92</v>
      </c>
      <c r="Q11" s="27">
        <f>ROUND('Форма 4а'!E65*'Текущие цены за единицу'!Q11,2)</f>
        <v>0</v>
      </c>
      <c r="R11" s="27">
        <f>ROUND('Форма 4а'!E65*'Текущие цены за единицу'!R11,2)</f>
        <v>1036.08</v>
      </c>
      <c r="S11" s="27">
        <f>ROUND('Форма 4а'!E65*'Текущие цены за единицу'!S11,2)</f>
        <v>0</v>
      </c>
      <c r="T11" s="27">
        <f>ROUND('Форма 4а'!E65*'Текущие цены за единицу'!T11,2)</f>
        <v>0</v>
      </c>
      <c r="U11" s="27">
        <f>ROUND('Форма 4а'!E65*'Текущие цены за единицу'!U11,2)</f>
        <v>0</v>
      </c>
      <c r="V11" s="27">
        <f>ROUND('Форма 4а'!E65*'Текущие цены за единицу'!V11,2)</f>
        <v>0</v>
      </c>
      <c r="X11" s="27">
        <f>ROUND('Форма 4а'!E65*'Текущие цены за единицу'!X11,2)</f>
        <v>0</v>
      </c>
      <c r="Y11" s="27">
        <f>IF(Определители!I11="9",ROUND((C11+E11)*(Начисления!M11/100)*('Форма 4а'!J77/100),2),0)</f>
        <v>0</v>
      </c>
      <c r="Z11" s="27">
        <f>IF(Определители!I11="9",ROUND((C11+E11)*(100-Начисления!M11/100)*('Форма 4а'!J77/100),2),0)</f>
        <v>0</v>
      </c>
      <c r="AA11" s="27">
        <f>IF(Определители!I11="9",ROUND((C11+E11)*(Начисления!M11/100)*('Форма 4а'!J80/100),2),0)</f>
        <v>0</v>
      </c>
      <c r="AB11" s="27">
        <f>IF(Определители!I11="9",ROUND((C11+E11)*(100-Начисления!M11/100)*('Форма 4а'!J80/100),2),0)</f>
        <v>0</v>
      </c>
      <c r="AC11" s="27">
        <f>IF(Определители!I11="9",ROUND(B11*Начисления!M11/100,2),0)</f>
        <v>0</v>
      </c>
      <c r="AD11" s="27">
        <f>IF(Определители!I11="9",ROUND(B11*(100-Начисления!M11)/100,2),0)</f>
        <v>0</v>
      </c>
      <c r="AE11" s="27">
        <f>ROUND('Форма 4а'!E65*'Текущие цены за единицу'!AE11,2)</f>
        <v>0</v>
      </c>
      <c r="AH11" s="27">
        <f>ROUND('Форма 4а'!E65*'Текущие цены за единицу'!AH11,2)</f>
        <v>0</v>
      </c>
      <c r="AI11" s="27">
        <f>ROUND('Форма 4а'!E65*'Текущие цены за единицу'!AI11,2)</f>
        <v>0</v>
      </c>
      <c r="AJ11" s="27">
        <f>ROUND('Форма 4а'!E65*'Текущие цены за единицу'!AJ11,2)</f>
        <v>0</v>
      </c>
      <c r="AK11" s="27">
        <f>ROUND('Форма 4а'!E65*'Текущие цены за единицу'!AK11,2)</f>
        <v>0</v>
      </c>
    </row>
    <row r="12" spans="1:37" ht="10.5">
      <c r="A12" s="27"/>
      <c r="B12" s="27">
        <f>ROUND(C12+D12+F12+AF12+AG12,2)</f>
        <v>784.37</v>
      </c>
      <c r="C12" s="27">
        <f>ROUND('Форма 4а'!E85*'Текущие цены за единицу'!C12,2)</f>
        <v>784.37</v>
      </c>
      <c r="D12" s="27">
        <f>ROUND('Форма 4а'!E85*'Текущие цены за единицу'!D12,2)</f>
        <v>0</v>
      </c>
      <c r="E12" s="27">
        <f>ROUND('Форма 4а'!E85*'Текущие цены за единицу'!E12,2)</f>
        <v>0</v>
      </c>
      <c r="F12" s="27">
        <f>ROUND('Форма 4а'!E85*'Текущие цены за единицу'!F12,2)</f>
        <v>0</v>
      </c>
      <c r="G12" s="27">
        <f>ROUND('Форма 4а'!E85*'Текущие цены за единицу'!G12,2)</f>
        <v>0</v>
      </c>
      <c r="H12" s="27">
        <f>ROUND('Форма 4а'!E85*'Текущие цены за единицу'!H12,2)</f>
        <v>0</v>
      </c>
      <c r="I12" s="31">
        <f>ОКРУГЛВСЕ('Форма 4а'!E85*'Текущие цены за единицу'!I12,8)</f>
        <v>3.835</v>
      </c>
      <c r="J12" s="28">
        <f>ОКРУГЛВСЕ('Форма 4а'!E85*'Текущие цены за единицу'!J12,8)</f>
        <v>0</v>
      </c>
      <c r="K12" s="31">
        <f>ОКРУГЛВСЕ('Форма 4а'!E85*'Текущие цены за единицу'!K12,8)</f>
        <v>0</v>
      </c>
      <c r="L12" s="27">
        <f>ROUND('Форма 4а'!E85*'Текущие цены за единицу'!L12,2)</f>
        <v>0</v>
      </c>
      <c r="M12" s="27">
        <f>ROUND('Форма 4а'!E85*'Текущие цены за единицу'!M12,2)</f>
        <v>0</v>
      </c>
      <c r="N12" s="27">
        <f>ROUND((C12+E12)*'Форма 4а'!J97/100,2)</f>
        <v>627.5</v>
      </c>
      <c r="O12" s="27">
        <f>ROUND((C12+E12)*'Форма 4а'!J100/100,2)</f>
        <v>533.37</v>
      </c>
      <c r="P12" s="27">
        <f>ROUND('Форма 4а'!E85*'Текущие цены за единицу'!P12,2)</f>
        <v>627.5</v>
      </c>
      <c r="Q12" s="27">
        <f>ROUND('Форма 4а'!E85*'Текущие цены за единицу'!Q12,2)</f>
        <v>0</v>
      </c>
      <c r="R12" s="27">
        <f>ROUND('Форма 4а'!E85*'Текущие цены за единицу'!R12,2)</f>
        <v>533.37</v>
      </c>
      <c r="S12" s="27">
        <f>ROUND('Форма 4а'!E85*'Текущие цены за единицу'!S12,2)</f>
        <v>0</v>
      </c>
      <c r="T12" s="27">
        <f>ROUND('Форма 4а'!E85*'Текущие цены за единицу'!T12,2)</f>
        <v>0</v>
      </c>
      <c r="U12" s="27">
        <f>ROUND('Форма 4а'!E85*'Текущие цены за единицу'!U12,2)</f>
        <v>0</v>
      </c>
      <c r="V12" s="27">
        <f>ROUND('Форма 4а'!E85*'Текущие цены за единицу'!V12,2)</f>
        <v>0</v>
      </c>
      <c r="X12" s="27">
        <f>ROUND('Форма 4а'!E85*'Текущие цены за единицу'!X12,2)</f>
        <v>0</v>
      </c>
      <c r="Y12" s="27">
        <f>IF(Определители!I12="9",ROUND((C12+E12)*(Начисления!M12/100)*('Форма 4а'!J97/100),2),0)</f>
        <v>0</v>
      </c>
      <c r="Z12" s="27">
        <f>IF(Определители!I12="9",ROUND((C12+E12)*(100-Начисления!M12/100)*('Форма 4а'!J97/100),2),0)</f>
        <v>0</v>
      </c>
      <c r="AA12" s="27">
        <f>IF(Определители!I12="9",ROUND((C12+E12)*(Начисления!M12/100)*('Форма 4а'!J100/100),2),0)</f>
        <v>0</v>
      </c>
      <c r="AB12" s="27">
        <f>IF(Определители!I12="9",ROUND((C12+E12)*(100-Начисления!M12/100)*('Форма 4а'!J100/100),2),0)</f>
        <v>0</v>
      </c>
      <c r="AC12" s="27">
        <f>IF(Определители!I12="9",ROUND(B12*Начисления!M12/100,2),0)</f>
        <v>0</v>
      </c>
      <c r="AD12" s="27">
        <f>IF(Определители!I12="9",ROUND(B12*(100-Начисления!M12)/100,2),0)</f>
        <v>0</v>
      </c>
      <c r="AE12" s="27">
        <f>ROUND('Форма 4а'!E85*'Текущие цены за единицу'!AE12,2)</f>
        <v>0</v>
      </c>
      <c r="AH12" s="27">
        <f>ROUND('Форма 4а'!E85*'Текущие цены за единицу'!AH12,2)</f>
        <v>0</v>
      </c>
      <c r="AI12" s="27">
        <f>ROUND('Форма 4а'!E85*'Текущие цены за единицу'!AI12,2)</f>
        <v>0</v>
      </c>
      <c r="AJ12" s="27">
        <f>ROUND('Форма 4а'!E85*'Текущие цены за единицу'!AJ12,2)</f>
        <v>0</v>
      </c>
      <c r="AK12" s="27">
        <f>ROUND('Форма 4а'!E85*'Текущие цены за единицу'!AK12,2)</f>
        <v>0</v>
      </c>
    </row>
    <row r="14" spans="2:12" ht="10.5">
      <c r="B14" s="41" t="s">
        <v>123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2:12" ht="10.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37" ht="10.5">
      <c r="A16" s="27"/>
      <c r="B16" s="27">
        <f aca="true" t="shared" si="0" ref="B16:B24">ROUND(C16+D16+F16+AF16+AG16,2)</f>
        <v>5097.4</v>
      </c>
      <c r="C16" s="27">
        <f>ROUND('Форма 4а'!E168*'Текущие цены за единицу'!C16,2)</f>
        <v>2829.85</v>
      </c>
      <c r="D16" s="27">
        <f>ROUND('Форма 4а'!E168*'Текущие цены за единицу'!D16,2)</f>
        <v>1365.55</v>
      </c>
      <c r="E16" s="27">
        <f>ROUND('Форма 4а'!E168*'Текущие цены за единицу'!E16,2)</f>
        <v>843.95</v>
      </c>
      <c r="F16" s="27">
        <f>ROUND('Форма 4а'!E168*'Текущие цены за единицу'!F16,2)</f>
        <v>902</v>
      </c>
      <c r="G16" s="27">
        <f>ROUND('Форма 4а'!E168*'Текущие цены за единицу'!G16,2)</f>
        <v>831.65</v>
      </c>
      <c r="H16" s="27">
        <f>ROUND('Форма 4а'!E168*'Текущие цены за единицу'!H16,2)</f>
        <v>0</v>
      </c>
      <c r="I16" s="31">
        <f>ОКРУГЛВСЕ('Форма 4а'!E168*'Текущие цены за единицу'!I16,8)</f>
        <v>12.65</v>
      </c>
      <c r="J16" s="28">
        <f>ОКРУГЛВСЕ('Форма 4а'!E168*'Текущие цены за единицу'!J16,8)</f>
        <v>0</v>
      </c>
      <c r="K16" s="31">
        <f>ОКРУГЛВСЕ('Форма 4а'!E168*'Текущие цены за единицу'!K16,8)</f>
        <v>2.8125</v>
      </c>
      <c r="L16" s="27">
        <f>ROUND('Форма 4а'!E168*'Текущие цены за единицу'!L16,2)</f>
        <v>0</v>
      </c>
      <c r="M16" s="27">
        <f>ROUND('Форма 4а'!E168*'Текущие цены за единицу'!M16,2)</f>
        <v>0</v>
      </c>
      <c r="N16" s="27">
        <f>ROUND((C16+E16)*'Форма 4а'!J183/100,2)</f>
        <v>4066.9</v>
      </c>
      <c r="O16" s="27">
        <f>ROUND((C16+E16)*'Форма 4а'!J186/100,2)</f>
        <v>2342.05</v>
      </c>
      <c r="P16" s="27">
        <f>ROUND('Форма 4а'!E168*'Текущие цены за единицу'!P16,2)</f>
        <v>3132.64</v>
      </c>
      <c r="Q16" s="27">
        <f>ROUND('Форма 4а'!E168*'Текущие цены за единицу'!Q16,2)</f>
        <v>934.25</v>
      </c>
      <c r="R16" s="27">
        <f>ROUND('Форма 4а'!E168*'Текущие цены за единицу'!R16,2)</f>
        <v>1804.03</v>
      </c>
      <c r="S16" s="27">
        <f>ROUND('Форма 4а'!E168*'Текущие цены за единицу'!S16,2)</f>
        <v>538.02</v>
      </c>
      <c r="T16" s="27">
        <f>ROUND('Форма 4а'!E168*'Текущие цены за единицу'!T16,2)</f>
        <v>0</v>
      </c>
      <c r="U16" s="27">
        <f>ROUND('Форма 4а'!E168*'Текущие цены за единицу'!U16,2)</f>
        <v>0</v>
      </c>
      <c r="V16" s="27">
        <f>ROUND('Форма 4а'!E168*'Текущие цены за единицу'!V16,2)</f>
        <v>0</v>
      </c>
      <c r="X16" s="27">
        <f>ROUND('Форма 4а'!E168*'Текущие цены за единицу'!X16,2)</f>
        <v>0</v>
      </c>
      <c r="Y16" s="27">
        <f>IF(Определители!I16="9",ROUND((C16+E16)*(Начисления!M16/100)*('Форма 4а'!J183/100),2),0)</f>
        <v>0</v>
      </c>
      <c r="Z16" s="27">
        <f>IF(Определители!I16="9",ROUND((C16+E16)*(100-Начисления!M16/100)*('Форма 4а'!J183/100),2),0)</f>
        <v>0</v>
      </c>
      <c r="AA16" s="27">
        <f>IF(Определители!I16="9",ROUND((C16+E16)*(Начисления!M16/100)*('Форма 4а'!J186/100),2),0)</f>
        <v>0</v>
      </c>
      <c r="AB16" s="27">
        <f>IF(Определители!I16="9",ROUND((C16+E16)*(100-Начисления!M16/100)*('Форма 4а'!J186/100),2),0)</f>
        <v>0</v>
      </c>
      <c r="AC16" s="27">
        <f>IF(Определители!I16="9",ROUND(B16*Начисления!M16/100,2),0)</f>
        <v>0</v>
      </c>
      <c r="AD16" s="27">
        <f>IF(Определители!I16="9",ROUND(B16*(100-Начисления!M16)/100,2),0)</f>
        <v>0</v>
      </c>
      <c r="AE16" s="27">
        <f>ROUND('Форма 4а'!E168*'Текущие цены за единицу'!AE16,2)</f>
        <v>0</v>
      </c>
      <c r="AH16" s="27">
        <f>ROUND('Форма 4а'!E168*'Текущие цены за единицу'!AH16,2)</f>
        <v>0</v>
      </c>
      <c r="AI16" s="27">
        <f>ROUND('Форма 4а'!E168*'Текущие цены за единицу'!AI16,2)</f>
        <v>0</v>
      </c>
      <c r="AJ16" s="27">
        <f>ROUND('Форма 4а'!E168*'Текущие цены за единицу'!AJ16,2)</f>
        <v>0</v>
      </c>
      <c r="AK16" s="27">
        <f>ROUND('Форма 4а'!E168*'Текущие цены за единицу'!AK16,2)</f>
        <v>0</v>
      </c>
    </row>
    <row r="17" spans="1:37" ht="10.5">
      <c r="A17" s="27"/>
      <c r="B17" s="27">
        <f t="shared" si="0"/>
        <v>4207.66</v>
      </c>
      <c r="C17" s="27">
        <f>ROUND('Форма 4а'!E191*'Текущие цены за единицу'!C17,2)</f>
        <v>2220.78</v>
      </c>
      <c r="D17" s="27">
        <f>ROUND('Форма 4а'!E191*'Текущие цены за единицу'!D17,2)</f>
        <v>588.23</v>
      </c>
      <c r="E17" s="27">
        <f>ROUND('Форма 4а'!E191*'Текущие цены за единицу'!E17,2)</f>
        <v>246.63</v>
      </c>
      <c r="F17" s="27">
        <f>ROUND('Форма 4а'!E191*'Текущие цены за единицу'!F17,2)</f>
        <v>1398.65</v>
      </c>
      <c r="G17" s="27">
        <f>ROUND('Форма 4а'!E191*'Текущие цены за единицу'!G17,2)</f>
        <v>635.3</v>
      </c>
      <c r="H17" s="27">
        <f>ROUND('Форма 4а'!E191*'Текущие цены за единицу'!H17,2)</f>
        <v>0</v>
      </c>
      <c r="I17" s="31">
        <f>ОКРУГЛВСЕ('Форма 4а'!E191*'Текущие цены за единицу'!I17,8)</f>
        <v>9.80375</v>
      </c>
      <c r="J17" s="28">
        <f>ОКРУГЛВСЕ('Форма 4а'!E191*'Текущие цены за единицу'!J17,8)</f>
        <v>0</v>
      </c>
      <c r="K17" s="31">
        <f>ОКРУГЛВСЕ('Форма 4а'!E191*'Текущие цены за единицу'!K17,8)</f>
        <v>0.9375</v>
      </c>
      <c r="L17" s="27">
        <f>ROUND('Форма 4а'!E191*'Текущие цены за единицу'!L17,2)</f>
        <v>0</v>
      </c>
      <c r="M17" s="27">
        <f>ROUND('Форма 4а'!E191*'Текущие цены за единицу'!M17,2)</f>
        <v>0</v>
      </c>
      <c r="N17" s="27">
        <f>ROUND((C17+E17)*'Форма 4а'!J206/100,2)</f>
        <v>2731.42</v>
      </c>
      <c r="O17" s="27">
        <f>ROUND((C17+E17)*'Форма 4а'!J209/100,2)</f>
        <v>1572.97</v>
      </c>
      <c r="P17" s="27">
        <f>ROUND('Форма 4а'!E191*'Текущие цены за единицу'!P17,2)</f>
        <v>2458.4</v>
      </c>
      <c r="Q17" s="27">
        <f>ROUND('Форма 4а'!E191*'Текущие цены за единицу'!Q17,2)</f>
        <v>273.01</v>
      </c>
      <c r="R17" s="27">
        <f>ROUND('Форма 4а'!E191*'Текущие цены за единицу'!R17,2)</f>
        <v>1415.74</v>
      </c>
      <c r="S17" s="27">
        <f>ROUND('Форма 4а'!E191*'Текущие цены за единицу'!S17,2)</f>
        <v>157.22</v>
      </c>
      <c r="T17" s="27">
        <f>ROUND('Форма 4а'!E191*'Текущие цены за единицу'!T17,2)</f>
        <v>0</v>
      </c>
      <c r="U17" s="27">
        <f>ROUND('Форма 4а'!E191*'Текущие цены за единицу'!U17,2)</f>
        <v>0</v>
      </c>
      <c r="V17" s="27">
        <f>ROUND('Форма 4а'!E191*'Текущие цены за единицу'!V17,2)</f>
        <v>0</v>
      </c>
      <c r="X17" s="27">
        <f>ROUND('Форма 4а'!E191*'Текущие цены за единицу'!X17,2)</f>
        <v>0</v>
      </c>
      <c r="Y17" s="27">
        <f>IF(Определители!I17="9",ROUND((C17+E17)*(Начисления!M17/100)*('Форма 4а'!J206/100),2),0)</f>
        <v>0</v>
      </c>
      <c r="Z17" s="27">
        <f>IF(Определители!I17="9",ROUND((C17+E17)*(100-Начисления!M17/100)*('Форма 4а'!J206/100),2),0)</f>
        <v>0</v>
      </c>
      <c r="AA17" s="27">
        <f>IF(Определители!I17="9",ROUND((C17+E17)*(Начисления!M17/100)*('Форма 4а'!J209/100),2),0)</f>
        <v>0</v>
      </c>
      <c r="AB17" s="27">
        <f>IF(Определители!I17="9",ROUND((C17+E17)*(100-Начисления!M17/100)*('Форма 4а'!J209/100),2),0)</f>
        <v>0</v>
      </c>
      <c r="AC17" s="27">
        <f>IF(Определители!I17="9",ROUND(B17*Начисления!M17/100,2),0)</f>
        <v>0</v>
      </c>
      <c r="AD17" s="27">
        <f>IF(Определители!I17="9",ROUND(B17*(100-Начисления!M17)/100,2),0)</f>
        <v>0</v>
      </c>
      <c r="AE17" s="27">
        <f>ROUND('Форма 4а'!E191*'Текущие цены за единицу'!AE17,2)</f>
        <v>0</v>
      </c>
      <c r="AH17" s="27">
        <f>ROUND('Форма 4а'!E191*'Текущие цены за единицу'!AH17,2)</f>
        <v>0</v>
      </c>
      <c r="AI17" s="27">
        <f>ROUND('Форма 4а'!E191*'Текущие цены за единицу'!AI17,2)</f>
        <v>0</v>
      </c>
      <c r="AJ17" s="27">
        <f>ROUND('Форма 4а'!E191*'Текущие цены за единицу'!AJ17,2)</f>
        <v>0</v>
      </c>
      <c r="AK17" s="27">
        <f>ROUND('Форма 4а'!E191*'Текущие цены за единицу'!AK17,2)</f>
        <v>0</v>
      </c>
    </row>
    <row r="18" spans="1:37" ht="10.5">
      <c r="A18" s="27"/>
      <c r="B18" s="27">
        <f t="shared" si="0"/>
        <v>9934.39</v>
      </c>
      <c r="C18" s="27">
        <f>ROUND('Форма 4а'!E214*'Текущие цены за единицу'!C18,2)</f>
        <v>4893.15</v>
      </c>
      <c r="D18" s="27">
        <f>ROUND('Форма 4а'!E214*'Текущие цены за единицу'!D18,2)</f>
        <v>500.42</v>
      </c>
      <c r="E18" s="27">
        <f>ROUND('Форма 4а'!E214*'Текущие цены за единицу'!E18,2)</f>
        <v>96.08</v>
      </c>
      <c r="F18" s="27">
        <f>ROUND('Форма 4а'!E214*'Текущие цены за единицу'!F18,2)</f>
        <v>4540.82</v>
      </c>
      <c r="G18" s="27">
        <f>ROUND('Форма 4а'!E214*'Текущие цены за единицу'!G18,2)</f>
        <v>0</v>
      </c>
      <c r="H18" s="27">
        <f>ROUND('Форма 4а'!E214*'Текущие цены за единицу'!H18,2)</f>
        <v>0</v>
      </c>
      <c r="I18" s="31">
        <f>ОКРУГЛВСЕ('Форма 4а'!E214*'Текущие цены за единицу'!I18,8)</f>
        <v>17.058525</v>
      </c>
      <c r="J18" s="28">
        <f>ОКРУГЛВСЕ('Форма 4а'!E214*'Текущие цены за единицу'!J18,8)</f>
        <v>0</v>
      </c>
      <c r="K18" s="31">
        <f>ОКРУГЛВСЕ('Форма 4а'!E214*'Текущие цены за единицу'!K18,8)</f>
        <v>0.295625</v>
      </c>
      <c r="L18" s="27">
        <f>ROUND('Форма 4а'!E214*'Текущие цены за единицу'!L18,2)</f>
        <v>0</v>
      </c>
      <c r="M18" s="27">
        <f>ROUND('Форма 4а'!E214*'Текущие цены за единицу'!M18,2)</f>
        <v>0</v>
      </c>
      <c r="N18" s="27">
        <f>ROUND((C18+E18)*'Форма 4а'!J228/100,2)</f>
        <v>5523.08</v>
      </c>
      <c r="O18" s="27">
        <f>ROUND((C18+E18)*'Форма 4а'!J231/100,2)</f>
        <v>3180.63</v>
      </c>
      <c r="P18" s="27">
        <f>ROUND('Форма 4а'!E214*'Текущие цены за единицу'!P18,2)</f>
        <v>5416.72</v>
      </c>
      <c r="Q18" s="27">
        <f>ROUND('Форма 4а'!E214*'Текущие цены за единицу'!Q18,2)</f>
        <v>106.36</v>
      </c>
      <c r="R18" s="27">
        <f>ROUND('Форма 4а'!E214*'Текущие цены за единицу'!R18,2)</f>
        <v>3119.38</v>
      </c>
      <c r="S18" s="27">
        <f>ROUND('Форма 4а'!E214*'Текущие цены за единицу'!S18,2)</f>
        <v>61.25</v>
      </c>
      <c r="T18" s="27">
        <f>ROUND('Форма 4а'!E214*'Текущие цены за единицу'!T18,2)</f>
        <v>0</v>
      </c>
      <c r="U18" s="27">
        <f>ROUND('Форма 4а'!E214*'Текущие цены за единицу'!U18,2)</f>
        <v>0</v>
      </c>
      <c r="V18" s="27">
        <f>ROUND('Форма 4а'!E214*'Текущие цены за единицу'!V18,2)</f>
        <v>0</v>
      </c>
      <c r="X18" s="27">
        <f>ROUND('Форма 4а'!E214*'Текущие цены за единицу'!X18,2)</f>
        <v>0</v>
      </c>
      <c r="Y18" s="27">
        <f>IF(Определители!I18="9",ROUND((C18+E18)*(Начисления!M18/100)*('Форма 4а'!J228/100),2),0)</f>
        <v>0</v>
      </c>
      <c r="Z18" s="27">
        <f>IF(Определители!I18="9",ROUND((C18+E18)*(100-Начисления!M18/100)*('Форма 4а'!J228/100),2),0)</f>
        <v>0</v>
      </c>
      <c r="AA18" s="27">
        <f>IF(Определители!I18="9",ROUND((C18+E18)*(Начисления!M18/100)*('Форма 4а'!J231/100),2),0)</f>
        <v>0</v>
      </c>
      <c r="AB18" s="27">
        <f>IF(Определители!I18="9",ROUND((C18+E18)*(100-Начисления!M18/100)*('Форма 4а'!J231/100),2),0)</f>
        <v>0</v>
      </c>
      <c r="AC18" s="27">
        <f>IF(Определители!I18="9",ROUND(B18*Начисления!M18/100,2),0)</f>
        <v>0</v>
      </c>
      <c r="AD18" s="27">
        <f>IF(Определители!I18="9",ROUND(B18*(100-Начисления!M18)/100,2),0)</f>
        <v>0</v>
      </c>
      <c r="AE18" s="27">
        <f>ROUND('Форма 4а'!E214*'Текущие цены за единицу'!AE18,2)</f>
        <v>0</v>
      </c>
      <c r="AH18" s="27">
        <f>ROUND('Форма 4а'!E214*'Текущие цены за единицу'!AH18,2)</f>
        <v>0</v>
      </c>
      <c r="AI18" s="27">
        <f>ROUND('Форма 4а'!E214*'Текущие цены за единицу'!AI18,2)</f>
        <v>0</v>
      </c>
      <c r="AJ18" s="27">
        <f>ROUND('Форма 4а'!E214*'Текущие цены за единицу'!AJ18,2)</f>
        <v>0</v>
      </c>
      <c r="AK18" s="27">
        <f>ROUND('Форма 4а'!E214*'Текущие цены за единицу'!AK18,2)</f>
        <v>0</v>
      </c>
    </row>
    <row r="19" spans="1:37" ht="10.5">
      <c r="A19" s="27"/>
      <c r="B19" s="27">
        <f t="shared" si="0"/>
        <v>11343.4</v>
      </c>
      <c r="C19" s="27">
        <f>ROUND('Форма 4а'!E236*'Текущие цены за единицу'!C19,2)</f>
        <v>4780.31</v>
      </c>
      <c r="D19" s="27">
        <f>ROUND('Форма 4а'!E236*'Текущие цены за единицу'!D19,2)</f>
        <v>316.95</v>
      </c>
      <c r="E19" s="27">
        <f>ROUND('Форма 4а'!E236*'Текущие цены за единицу'!E19,2)</f>
        <v>281.05</v>
      </c>
      <c r="F19" s="27">
        <f>ROUND('Форма 4а'!E236*'Текущие цены за единицу'!F19,2)</f>
        <v>6246.14</v>
      </c>
      <c r="G19" s="27">
        <f>ROUND('Форма 4а'!E236*'Текущие цены за единицу'!G19,2)</f>
        <v>5526.2</v>
      </c>
      <c r="H19" s="27">
        <f>ROUND('Форма 4а'!E236*'Текущие цены за единицу'!H19,2)</f>
        <v>0</v>
      </c>
      <c r="I19" s="31">
        <f>ОКРУГЛВСЕ('Форма 4а'!E236*'Текущие цены за единицу'!I19,8)</f>
        <v>23.37375</v>
      </c>
      <c r="J19" s="28">
        <f>ОКРУГЛВСЕ('Форма 4а'!E236*'Текущие цены за единицу'!J19,8)</f>
        <v>0</v>
      </c>
      <c r="K19" s="31">
        <f>ОКРУГЛВСЕ('Форма 4а'!E236*'Текущие цены за единицу'!K19,8)</f>
        <v>0.79375</v>
      </c>
      <c r="L19" s="27">
        <f>ROUND('Форма 4а'!E236*'Текущие цены за единицу'!L19,2)</f>
        <v>0</v>
      </c>
      <c r="M19" s="27">
        <f>ROUND('Форма 4а'!E236*'Текущие цены за единицу'!M19,2)</f>
        <v>0</v>
      </c>
      <c r="N19" s="27">
        <f>ROUND((C19+E19)*'Форма 4а'!J251/100,2)</f>
        <v>5602.93</v>
      </c>
      <c r="O19" s="27">
        <f>ROUND((C19+E19)*'Форма 4а'!J254/100,2)</f>
        <v>3226.62</v>
      </c>
      <c r="P19" s="27">
        <f>ROUND('Форма 4а'!E236*'Текущие цены за единицу'!P19,2)</f>
        <v>5291.8</v>
      </c>
      <c r="Q19" s="27">
        <f>ROUND('Форма 4а'!E236*'Текущие цены за единицу'!Q19,2)</f>
        <v>311.12</v>
      </c>
      <c r="R19" s="27">
        <f>ROUND('Форма 4а'!E236*'Текущие цены за единицу'!R19,2)</f>
        <v>3047.44</v>
      </c>
      <c r="S19" s="27">
        <f>ROUND('Форма 4а'!E236*'Текущие цены за единицу'!S19,2)</f>
        <v>179.17</v>
      </c>
      <c r="T19" s="27">
        <f>ROUND('Форма 4а'!E236*'Текущие цены за единицу'!T19,2)</f>
        <v>0</v>
      </c>
      <c r="U19" s="27">
        <f>ROUND('Форма 4а'!E236*'Текущие цены за единицу'!U19,2)</f>
        <v>0</v>
      </c>
      <c r="V19" s="27">
        <f>ROUND('Форма 4а'!E236*'Текущие цены за единицу'!V19,2)</f>
        <v>0</v>
      </c>
      <c r="X19" s="27">
        <f>ROUND('Форма 4а'!E236*'Текущие цены за единицу'!X19,2)</f>
        <v>0</v>
      </c>
      <c r="Y19" s="27">
        <f>IF(Определители!I19="9",ROUND((C19+E19)*(Начисления!M19/100)*('Форма 4а'!J251/100),2),0)</f>
        <v>0</v>
      </c>
      <c r="Z19" s="27">
        <f>IF(Определители!I19="9",ROUND((C19+E19)*(100-Начисления!M19/100)*('Форма 4а'!J251/100),2),0)</f>
        <v>0</v>
      </c>
      <c r="AA19" s="27">
        <f>IF(Определители!I19="9",ROUND((C19+E19)*(Начисления!M19/100)*('Форма 4а'!J254/100),2),0)</f>
        <v>0</v>
      </c>
      <c r="AB19" s="27">
        <f>IF(Определители!I19="9",ROUND((C19+E19)*(100-Начисления!M19/100)*('Форма 4а'!J254/100),2),0)</f>
        <v>0</v>
      </c>
      <c r="AC19" s="27">
        <f>IF(Определители!I19="9",ROUND(B19*Начисления!M19/100,2),0)</f>
        <v>0</v>
      </c>
      <c r="AD19" s="27">
        <f>IF(Определители!I19="9",ROUND(B19*(100-Начисления!M19)/100,2),0)</f>
        <v>0</v>
      </c>
      <c r="AE19" s="27">
        <f>ROUND('Форма 4а'!E236*'Текущие цены за единицу'!AE19,2)</f>
        <v>0</v>
      </c>
      <c r="AH19" s="27">
        <f>ROUND('Форма 4а'!E236*'Текущие цены за единицу'!AH19,2)</f>
        <v>0</v>
      </c>
      <c r="AI19" s="27">
        <f>ROUND('Форма 4а'!E236*'Текущие цены за единицу'!AI19,2)</f>
        <v>0</v>
      </c>
      <c r="AJ19" s="27">
        <f>ROUND('Форма 4а'!E236*'Текущие цены за единицу'!AJ19,2)</f>
        <v>0</v>
      </c>
      <c r="AK19" s="27">
        <f>ROUND('Форма 4а'!E236*'Текущие цены за единицу'!AK19,2)</f>
        <v>0</v>
      </c>
    </row>
    <row r="20" spans="1:37" ht="10.5">
      <c r="A20" s="27"/>
      <c r="B20" s="27">
        <f t="shared" si="0"/>
        <v>596.55</v>
      </c>
      <c r="C20" s="27">
        <f>ROUND('Форма 4а'!E259*'Текущие цены за единицу'!C20,2)</f>
        <v>117.6</v>
      </c>
      <c r="D20" s="27">
        <f>ROUND('Форма 4а'!E259*'Текущие цены за единицу'!D20,2)</f>
        <v>108.85</v>
      </c>
      <c r="E20" s="27">
        <f>ROUND('Форма 4а'!E259*'Текущие цены за единицу'!E20,2)</f>
        <v>93.08</v>
      </c>
      <c r="F20" s="27">
        <f>ROUND('Форма 4а'!E259*'Текущие цены за единицу'!F20,2)</f>
        <v>370.1</v>
      </c>
      <c r="G20" s="27">
        <f>ROUND('Форма 4а'!E259*'Текущие цены за единицу'!G20,2)</f>
        <v>329.34</v>
      </c>
      <c r="H20" s="27">
        <f>ROUND('Форма 4а'!E259*'Текущие цены за единицу'!H20,2)</f>
        <v>0</v>
      </c>
      <c r="I20" s="31">
        <f>ОКРУГЛВСЕ('Форма 4а'!E259*'Текущие цены за единицу'!I20,8)</f>
        <v>0.575</v>
      </c>
      <c r="J20" s="28">
        <f>ОКРУГЛВСЕ('Форма 4а'!E259*'Текущие цены за единицу'!J20,8)</f>
        <v>0</v>
      </c>
      <c r="K20" s="31">
        <f>ОКРУГЛВСЕ('Форма 4а'!E259*'Текущие цены за единицу'!K20,8)</f>
        <v>0.2625</v>
      </c>
      <c r="L20" s="27">
        <f>ROUND('Форма 4а'!E259*'Текущие цены за единицу'!L20,2)</f>
        <v>0</v>
      </c>
      <c r="M20" s="27">
        <f>ROUND('Форма 4а'!E259*'Текущие цены за единицу'!M20,2)</f>
        <v>0</v>
      </c>
      <c r="N20" s="27">
        <f>ROUND((C20+E20)*'Форма 4а'!J274/100,2)</f>
        <v>233.22</v>
      </c>
      <c r="O20" s="27">
        <f>ROUND((C20+E20)*'Форма 4а'!J277/100,2)</f>
        <v>134.31</v>
      </c>
      <c r="P20" s="27">
        <f>ROUND('Форма 4а'!E259*'Текущие цены за единицу'!P20,2)</f>
        <v>130.18</v>
      </c>
      <c r="Q20" s="27">
        <f>ROUND('Форма 4а'!E259*'Текущие цены за единицу'!Q20,2)</f>
        <v>103.04</v>
      </c>
      <c r="R20" s="27">
        <f>ROUND('Форма 4а'!E259*'Текущие цены за единицу'!R20,2)</f>
        <v>74.97</v>
      </c>
      <c r="S20" s="27">
        <f>ROUND('Форма 4а'!E259*'Текущие цены за единицу'!S20,2)</f>
        <v>59.34</v>
      </c>
      <c r="T20" s="27">
        <f>ROUND('Форма 4а'!E259*'Текущие цены за единицу'!T20,2)</f>
        <v>0</v>
      </c>
      <c r="U20" s="27">
        <f>ROUND('Форма 4а'!E259*'Текущие цены за единицу'!U20,2)</f>
        <v>0</v>
      </c>
      <c r="V20" s="27">
        <f>ROUND('Форма 4а'!E259*'Текущие цены за единицу'!V20,2)</f>
        <v>0</v>
      </c>
      <c r="X20" s="27">
        <f>ROUND('Форма 4а'!E259*'Текущие цены за единицу'!X20,2)</f>
        <v>0</v>
      </c>
      <c r="Y20" s="27">
        <f>IF(Определители!I20="9",ROUND((C20+E20)*(Начисления!M20/100)*('Форма 4а'!J274/100),2),0)</f>
        <v>0</v>
      </c>
      <c r="Z20" s="27">
        <f>IF(Определители!I20="9",ROUND((C20+E20)*(100-Начисления!M20/100)*('Форма 4а'!J274/100),2),0)</f>
        <v>0</v>
      </c>
      <c r="AA20" s="27">
        <f>IF(Определители!I20="9",ROUND((C20+E20)*(Начисления!M20/100)*('Форма 4а'!J277/100),2),0)</f>
        <v>0</v>
      </c>
      <c r="AB20" s="27">
        <f>IF(Определители!I20="9",ROUND((C20+E20)*(100-Начисления!M20/100)*('Форма 4а'!J277/100),2),0)</f>
        <v>0</v>
      </c>
      <c r="AC20" s="27">
        <f>IF(Определители!I20="9",ROUND(B20*Начисления!M20/100,2),0)</f>
        <v>0</v>
      </c>
      <c r="AD20" s="27">
        <f>IF(Определители!I20="9",ROUND(B20*(100-Начисления!M20)/100,2),0)</f>
        <v>0</v>
      </c>
      <c r="AE20" s="27">
        <f>ROUND('Форма 4а'!E259*'Текущие цены за единицу'!AE20,2)</f>
        <v>0</v>
      </c>
      <c r="AH20" s="27">
        <f>ROUND('Форма 4а'!E259*'Текущие цены за единицу'!AH20,2)</f>
        <v>0</v>
      </c>
      <c r="AI20" s="27">
        <f>ROUND('Форма 4а'!E259*'Текущие цены за единицу'!AI20,2)</f>
        <v>0</v>
      </c>
      <c r="AJ20" s="27">
        <f>ROUND('Форма 4а'!E259*'Текущие цены за единицу'!AJ20,2)</f>
        <v>0</v>
      </c>
      <c r="AK20" s="27">
        <f>ROUND('Форма 4а'!E259*'Текущие цены за единицу'!AK20,2)</f>
        <v>0</v>
      </c>
    </row>
    <row r="21" spans="1:37" ht="10.5">
      <c r="A21" s="27"/>
      <c r="B21" s="27">
        <f t="shared" si="0"/>
        <v>1688.68</v>
      </c>
      <c r="C21" s="27">
        <f>ROUND('Форма 4а'!E282*'Текущие цены за единицу'!C21,2)</f>
        <v>168.84</v>
      </c>
      <c r="D21" s="27">
        <f>ROUND('Форма 4а'!E282*'Текущие цены за единицу'!D21,2)</f>
        <v>18.13</v>
      </c>
      <c r="E21" s="27">
        <f>ROUND('Форма 4а'!E282*'Текущие цены за единицу'!E21,2)</f>
        <v>7.72</v>
      </c>
      <c r="F21" s="27">
        <f>ROUND('Форма 4а'!E282*'Текущие цены за единицу'!F21,2)</f>
        <v>1501.71</v>
      </c>
      <c r="G21" s="27">
        <f>ROUND('Форма 4а'!E282*'Текущие цены за единицу'!G21,2)</f>
        <v>1392.78</v>
      </c>
      <c r="H21" s="27">
        <f>ROUND('Форма 4а'!E282*'Текущие цены за единицу'!H21,2)</f>
        <v>0</v>
      </c>
      <c r="I21" s="31">
        <f>ОКРУГЛВСЕ('Форма 4а'!E282*'Текущие цены за единицу'!I21,8)</f>
        <v>0.7268</v>
      </c>
      <c r="J21" s="28">
        <f>ОКРУГЛВСЕ('Форма 4а'!E282*'Текущие цены за единицу'!J21,8)</f>
        <v>0</v>
      </c>
      <c r="K21" s="31">
        <f>ОКРУГЛВСЕ('Форма 4а'!E282*'Текущие цены за единицу'!K21,8)</f>
        <v>0.02375</v>
      </c>
      <c r="L21" s="27">
        <f>ROUND('Форма 4а'!E282*'Текущие цены за единицу'!L21,2)</f>
        <v>0</v>
      </c>
      <c r="M21" s="27">
        <f>ROUND('Форма 4а'!E282*'Текущие цены за единицу'!M21,2)</f>
        <v>0</v>
      </c>
      <c r="N21" s="27">
        <f>ROUND((C21+E21)*'Форма 4а'!J297/100,2)</f>
        <v>166.85</v>
      </c>
      <c r="O21" s="27">
        <f>ROUND((C21+E21)*'Форма 4а'!J300/100,2)</f>
        <v>97.55</v>
      </c>
      <c r="P21" s="27">
        <f>ROUND('Форма 4а'!E282*'Текущие цены за единицу'!P21,2)</f>
        <v>159.56</v>
      </c>
      <c r="Q21" s="27">
        <f>ROUND('Форма 4а'!E282*'Текущие цены за единицу'!Q21,2)</f>
        <v>7.29</v>
      </c>
      <c r="R21" s="27">
        <f>ROUND('Форма 4а'!E282*'Текущие цены за единицу'!R21,2)</f>
        <v>93.28</v>
      </c>
      <c r="S21" s="27">
        <f>ROUND('Форма 4а'!E282*'Текущие цены за единицу'!S21,2)</f>
        <v>4.26</v>
      </c>
      <c r="T21" s="27">
        <f>ROUND('Форма 4а'!E282*'Текущие цены за единицу'!T21,2)</f>
        <v>0</v>
      </c>
      <c r="U21" s="27">
        <f>ROUND('Форма 4а'!E282*'Текущие цены за единицу'!U21,2)</f>
        <v>0</v>
      </c>
      <c r="V21" s="27">
        <f>ROUND('Форма 4а'!E282*'Текущие цены за единицу'!V21,2)</f>
        <v>0</v>
      </c>
      <c r="X21" s="27">
        <f>ROUND('Форма 4а'!E282*'Текущие цены за единицу'!X21,2)</f>
        <v>0</v>
      </c>
      <c r="Y21" s="27">
        <f>IF(Определители!I21="9",ROUND((C21+E21)*(Начисления!M21/100)*('Форма 4а'!J297/100),2),0)</f>
        <v>0</v>
      </c>
      <c r="Z21" s="27">
        <f>IF(Определители!I21="9",ROUND((C21+E21)*(100-Начисления!M21/100)*('Форма 4а'!J297/100),2),0)</f>
        <v>0</v>
      </c>
      <c r="AA21" s="27">
        <f>IF(Определители!I21="9",ROUND((C21+E21)*(Начисления!M21/100)*('Форма 4а'!J300/100),2),0)</f>
        <v>0</v>
      </c>
      <c r="AB21" s="27">
        <f>IF(Определители!I21="9",ROUND((C21+E21)*(100-Начисления!M21/100)*('Форма 4а'!J300/100),2),0)</f>
        <v>0</v>
      </c>
      <c r="AC21" s="27">
        <f>IF(Определители!I21="9",ROUND(B21*Начисления!M21/100,2),0)</f>
        <v>0</v>
      </c>
      <c r="AD21" s="27">
        <f>IF(Определители!I21="9",ROUND(B21*(100-Начисления!M21)/100,2),0)</f>
        <v>0</v>
      </c>
      <c r="AE21" s="27">
        <f>ROUND('Форма 4а'!E282*'Текущие цены за единицу'!AE21,2)</f>
        <v>0</v>
      </c>
      <c r="AH21" s="27">
        <f>ROUND('Форма 4а'!E282*'Текущие цены за единицу'!AH21,2)</f>
        <v>0</v>
      </c>
      <c r="AI21" s="27">
        <f>ROUND('Форма 4а'!E282*'Текущие цены за единицу'!AI21,2)</f>
        <v>0</v>
      </c>
      <c r="AJ21" s="27">
        <f>ROUND('Форма 4а'!E282*'Текущие цены за единицу'!AJ21,2)</f>
        <v>0</v>
      </c>
      <c r="AK21" s="27">
        <f>ROUND('Форма 4а'!E282*'Текущие цены за единицу'!AK21,2)</f>
        <v>0</v>
      </c>
    </row>
    <row r="22" spans="1:37" ht="10.5">
      <c r="A22" s="27"/>
      <c r="B22" s="27">
        <f t="shared" si="0"/>
        <v>12579.15</v>
      </c>
      <c r="C22" s="27">
        <f>ROUND('Форма 4а'!E305*'Текущие цены за единицу'!C22,2)</f>
        <v>3952.01</v>
      </c>
      <c r="D22" s="27">
        <f>ROUND('Форма 4а'!E305*'Текущие цены за единицу'!D22,2)</f>
        <v>23.67</v>
      </c>
      <c r="E22" s="27">
        <f>ROUND('Форма 4а'!E305*'Текущие цены за единицу'!E22,2)</f>
        <v>17.05</v>
      </c>
      <c r="F22" s="27">
        <f>ROUND('Форма 4а'!E305*'Текущие цены за единицу'!F22,2)</f>
        <v>8603.47</v>
      </c>
      <c r="G22" s="27">
        <f>ROUND('Форма 4а'!E305*'Текущие цены за единицу'!G22,2)</f>
        <v>0</v>
      </c>
      <c r="H22" s="27">
        <f>ROUND('Форма 4а'!E305*'Текущие цены за единицу'!H22,2)</f>
        <v>0</v>
      </c>
      <c r="I22" s="31">
        <f>ОКРУГЛВСЕ('Форма 4а'!E305*'Текущие цены за единицу'!I22,8)</f>
        <v>17.66975</v>
      </c>
      <c r="J22" s="28">
        <f>ОКРУГЛВСЕ('Форма 4а'!E305*'Текущие цены за единицу'!J22,8)</f>
        <v>0</v>
      </c>
      <c r="K22" s="31">
        <f>ОКРУГЛВСЕ('Форма 4а'!E305*'Текущие цены за единицу'!K22,8)</f>
        <v>0.05625</v>
      </c>
      <c r="L22" s="27">
        <f>ROUND('Форма 4а'!E305*'Текущие цены за единицу'!L22,2)</f>
        <v>0</v>
      </c>
      <c r="M22" s="27">
        <f>ROUND('Форма 4а'!E305*'Текущие цены за единицу'!M22,2)</f>
        <v>0</v>
      </c>
      <c r="N22" s="27">
        <f>ROUND((C22+E22)*'Форма 4а'!J319/100,2)</f>
        <v>4393.75</v>
      </c>
      <c r="O22" s="27">
        <f>ROUND((C22+E22)*'Форма 4а'!J322/100,2)</f>
        <v>2530.28</v>
      </c>
      <c r="P22" s="27">
        <f>ROUND('Форма 4а'!E305*'Текущие цены за единицу'!P22,2)</f>
        <v>4374.87</v>
      </c>
      <c r="Q22" s="27">
        <f>ROUND('Форма 4а'!E305*'Текущие цены за единицу'!Q22,2)</f>
        <v>18.87</v>
      </c>
      <c r="R22" s="27">
        <f>ROUND('Форма 4а'!E305*'Текущие цены за единицу'!R22,2)</f>
        <v>2519.4</v>
      </c>
      <c r="S22" s="27">
        <f>ROUND('Форма 4а'!E305*'Текущие цены за единицу'!S22,2)</f>
        <v>10.87</v>
      </c>
      <c r="T22" s="27">
        <f>ROUND('Форма 4а'!E305*'Текущие цены за единицу'!T22,2)</f>
        <v>0</v>
      </c>
      <c r="U22" s="27">
        <f>ROUND('Форма 4а'!E305*'Текущие цены за единицу'!U22,2)</f>
        <v>0</v>
      </c>
      <c r="V22" s="27">
        <f>ROUND('Форма 4а'!E305*'Текущие цены за единицу'!V22,2)</f>
        <v>0</v>
      </c>
      <c r="X22" s="27">
        <f>ROUND('Форма 4а'!E305*'Текущие цены за единицу'!X22,2)</f>
        <v>0</v>
      </c>
      <c r="Y22" s="27">
        <f>IF(Определители!I22="9",ROUND((C22+E22)*(Начисления!M22/100)*('Форма 4а'!J319/100),2),0)</f>
        <v>0</v>
      </c>
      <c r="Z22" s="27">
        <f>IF(Определители!I22="9",ROUND((C22+E22)*(100-Начисления!M22/100)*('Форма 4а'!J319/100),2),0)</f>
        <v>0</v>
      </c>
      <c r="AA22" s="27">
        <f>IF(Определители!I22="9",ROUND((C22+E22)*(Начисления!M22/100)*('Форма 4а'!J322/100),2),0)</f>
        <v>0</v>
      </c>
      <c r="AB22" s="27">
        <f>IF(Определители!I22="9",ROUND((C22+E22)*(100-Начисления!M22/100)*('Форма 4а'!J322/100),2),0)</f>
        <v>0</v>
      </c>
      <c r="AC22" s="27">
        <f>IF(Определители!I22="9",ROUND(B22*Начисления!M22/100,2),0)</f>
        <v>0</v>
      </c>
      <c r="AD22" s="27">
        <f>IF(Определители!I22="9",ROUND(B22*(100-Начисления!M22)/100,2),0)</f>
        <v>0</v>
      </c>
      <c r="AE22" s="27">
        <f>ROUND('Форма 4а'!E305*'Текущие цены за единицу'!AE22,2)</f>
        <v>0</v>
      </c>
      <c r="AH22" s="27">
        <f>ROUND('Форма 4а'!E305*'Текущие цены за единицу'!AH22,2)</f>
        <v>0</v>
      </c>
      <c r="AI22" s="27">
        <f>ROUND('Форма 4а'!E305*'Текущие цены за единицу'!AI22,2)</f>
        <v>0</v>
      </c>
      <c r="AJ22" s="27">
        <f>ROUND('Форма 4а'!E305*'Текущие цены за единицу'!AJ22,2)</f>
        <v>0</v>
      </c>
      <c r="AK22" s="27">
        <f>ROUND('Форма 4а'!E305*'Текущие цены за единицу'!AK22,2)</f>
        <v>0</v>
      </c>
    </row>
    <row r="23" spans="1:37" ht="10.5">
      <c r="A23" s="27"/>
      <c r="B23" s="27">
        <f t="shared" si="0"/>
        <v>74786.59</v>
      </c>
      <c r="C23" s="27">
        <f>ROUND('Форма 4а'!E327*'Текущие цены за единицу'!C23,2)</f>
        <v>40903.6</v>
      </c>
      <c r="D23" s="27">
        <f>ROUND('Форма 4а'!E327*'Текущие цены за единицу'!D23,2)</f>
        <v>298.41</v>
      </c>
      <c r="E23" s="27">
        <f>ROUND('Форма 4а'!E327*'Текущие цены за единицу'!E23,2)</f>
        <v>286.95</v>
      </c>
      <c r="F23" s="27">
        <f>ROUND('Форма 4а'!E327*'Текущие цены за единицу'!F23,2)</f>
        <v>33584.58</v>
      </c>
      <c r="G23" s="27">
        <f>ROUND('Форма 4а'!E327*'Текущие цены за единицу'!G23,2)</f>
        <v>601.07</v>
      </c>
      <c r="H23" s="27">
        <f>ROUND('Форма 4а'!E327*'Текущие цены за единицу'!H23,2)</f>
        <v>0</v>
      </c>
      <c r="I23" s="31">
        <f>ОКРУГЛВСЕ('Форма 4а'!E327*'Текущие цены за единицу'!I23,8)</f>
        <v>178.4915</v>
      </c>
      <c r="J23" s="28">
        <f>ОКРУГЛВСЕ('Форма 4а'!E327*'Текущие цены за единицу'!J23,8)</f>
        <v>0</v>
      </c>
      <c r="K23" s="31">
        <f>ОКРУГЛВСЕ('Форма 4а'!E327*'Текущие цены за единицу'!K23,8)</f>
        <v>1.08125</v>
      </c>
      <c r="L23" s="27">
        <f>ROUND('Форма 4а'!E327*'Текущие цены за единицу'!L23,2)</f>
        <v>0</v>
      </c>
      <c r="M23" s="27">
        <f>ROUND('Форма 4а'!E327*'Текущие цены за единицу'!M23,2)</f>
        <v>0</v>
      </c>
      <c r="N23" s="27">
        <f>ROUND((C23+E23)*'Форма 4а'!J341/100,2)</f>
        <v>45597.94</v>
      </c>
      <c r="O23" s="27">
        <f>ROUND((C23+E23)*'Форма 4а'!J344/100,2)</f>
        <v>26258.98</v>
      </c>
      <c r="P23" s="27">
        <f>ROUND('Форма 4а'!E327*'Текущие цены за единицу'!P23,2)</f>
        <v>45280.29</v>
      </c>
      <c r="Q23" s="27">
        <f>ROUND('Форма 4а'!E327*'Текущие цены за единицу'!Q23,2)</f>
        <v>317.65</v>
      </c>
      <c r="R23" s="27">
        <f>ROUND('Форма 4а'!E327*'Текущие цены за единицу'!R23,2)</f>
        <v>26076.05</v>
      </c>
      <c r="S23" s="27">
        <f>ROUND('Форма 4а'!E327*'Текущие цены за единицу'!S23,2)</f>
        <v>182.93</v>
      </c>
      <c r="T23" s="27">
        <f>ROUND('Форма 4а'!E327*'Текущие цены за единицу'!T23,2)</f>
        <v>0</v>
      </c>
      <c r="U23" s="27">
        <f>ROUND('Форма 4а'!E327*'Текущие цены за единицу'!U23,2)</f>
        <v>0</v>
      </c>
      <c r="V23" s="27">
        <f>ROUND('Форма 4а'!E327*'Текущие цены за единицу'!V23,2)</f>
        <v>0</v>
      </c>
      <c r="X23" s="27">
        <f>ROUND('Форма 4а'!E327*'Текущие цены за единицу'!X23,2)</f>
        <v>0</v>
      </c>
      <c r="Y23" s="27">
        <f>IF(Определители!I23="9",ROUND((C23+E23)*(Начисления!M23/100)*('Форма 4а'!J341/100),2),0)</f>
        <v>0</v>
      </c>
      <c r="Z23" s="27">
        <f>IF(Определители!I23="9",ROUND((C23+E23)*(100-Начисления!M23/100)*('Форма 4а'!J341/100),2),0)</f>
        <v>0</v>
      </c>
      <c r="AA23" s="27">
        <f>IF(Определители!I23="9",ROUND((C23+E23)*(Начисления!M23/100)*('Форма 4а'!J344/100),2),0)</f>
        <v>0</v>
      </c>
      <c r="AB23" s="27">
        <f>IF(Определители!I23="9",ROUND((C23+E23)*(100-Начисления!M23/100)*('Форма 4а'!J344/100),2),0)</f>
        <v>0</v>
      </c>
      <c r="AC23" s="27">
        <f>IF(Определители!I23="9",ROUND(B23*Начисления!M23/100,2),0)</f>
        <v>0</v>
      </c>
      <c r="AD23" s="27">
        <f>IF(Определители!I23="9",ROUND(B23*(100-Начисления!M23)/100,2),0)</f>
        <v>0</v>
      </c>
      <c r="AE23" s="27">
        <f>ROUND('Форма 4а'!E327*'Текущие цены за единицу'!AE23,2)</f>
        <v>0</v>
      </c>
      <c r="AH23" s="27">
        <f>ROUND('Форма 4а'!E327*'Текущие цены за единицу'!AH23,2)</f>
        <v>0</v>
      </c>
      <c r="AI23" s="27">
        <f>ROUND('Форма 4а'!E327*'Текущие цены за единицу'!AI23,2)</f>
        <v>0</v>
      </c>
      <c r="AJ23" s="27">
        <f>ROUND('Форма 4а'!E327*'Текущие цены за единицу'!AJ23,2)</f>
        <v>0</v>
      </c>
      <c r="AK23" s="27">
        <f>ROUND('Форма 4а'!E327*'Текущие цены за единицу'!AK23,2)</f>
        <v>0</v>
      </c>
    </row>
    <row r="24" spans="1:37" ht="10.5">
      <c r="A24" s="27"/>
      <c r="B24" s="27">
        <f t="shared" si="0"/>
        <v>2106.36</v>
      </c>
      <c r="C24" s="27">
        <f>ROUND('Форма 4а'!E349*'Текущие цены за единицу'!C24,2)</f>
        <v>2049.17</v>
      </c>
      <c r="D24" s="27">
        <f>ROUND('Форма 4а'!E349*'Текущие цены за единицу'!D24,2)</f>
        <v>23.04</v>
      </c>
      <c r="E24" s="27">
        <f>ROUND('Форма 4а'!E349*'Текущие цены за единицу'!E24,2)</f>
        <v>13.57</v>
      </c>
      <c r="F24" s="27">
        <f>ROUND('Форма 4а'!E349*'Текущие цены за единицу'!F24,2)</f>
        <v>34.15</v>
      </c>
      <c r="G24" s="27">
        <f>ROUND('Форма 4а'!E349*'Текущие цены за единицу'!G24,2)</f>
        <v>30.37</v>
      </c>
      <c r="H24" s="27">
        <f>ROUND('Форма 4а'!E349*'Текущие цены за единицу'!H24,2)</f>
        <v>0</v>
      </c>
      <c r="I24" s="31">
        <f>ОКРУГЛВСЕ('Форма 4а'!E349*'Текущие цены за единицу'!I24,8)</f>
        <v>8.2179</v>
      </c>
      <c r="J24" s="28">
        <f>ОКРУГЛВСЕ('Форма 4а'!E349*'Текущие цены за единицу'!J24,8)</f>
        <v>0</v>
      </c>
      <c r="K24" s="31">
        <f>ОКРУГЛВСЕ('Форма 4а'!E349*'Текущие цены за единицу'!K24,8)</f>
        <v>0.04125</v>
      </c>
      <c r="L24" s="27">
        <f>ROUND('Форма 4а'!E349*'Текущие цены за единицу'!L24,2)</f>
        <v>0</v>
      </c>
      <c r="M24" s="27">
        <f>ROUND('Форма 4а'!E349*'Текущие цены за единицу'!M24,2)</f>
        <v>0</v>
      </c>
      <c r="N24" s="27">
        <f>ROUND((C24+E24)*'Форма 4а'!J365/100,2)</f>
        <v>2283.45</v>
      </c>
      <c r="O24" s="27">
        <f>ROUND((C24+E24)*'Форма 4а'!J368/100,2)</f>
        <v>1315</v>
      </c>
      <c r="P24" s="27">
        <f>ROUND('Форма 4а'!E349*'Текущие цены за единицу'!P24,2)</f>
        <v>2268.43</v>
      </c>
      <c r="Q24" s="27">
        <f>ROUND('Форма 4а'!E349*'Текущие цены за единицу'!Q24,2)</f>
        <v>15.02</v>
      </c>
      <c r="R24" s="27">
        <f>ROUND('Форма 4а'!E349*'Текущие цены за единицу'!R24,2)</f>
        <v>1306.34</v>
      </c>
      <c r="S24" s="27">
        <f>ROUND('Форма 4а'!E349*'Текущие цены за единицу'!S24,2)</f>
        <v>8.65</v>
      </c>
      <c r="T24" s="27">
        <f>ROUND('Форма 4а'!E349*'Текущие цены за единицу'!T24,2)</f>
        <v>0</v>
      </c>
      <c r="U24" s="27">
        <f>ROUND('Форма 4а'!E349*'Текущие цены за единицу'!U24,2)</f>
        <v>0</v>
      </c>
      <c r="V24" s="27">
        <f>ROUND('Форма 4а'!E349*'Текущие цены за единицу'!V24,2)</f>
        <v>0</v>
      </c>
      <c r="X24" s="27">
        <f>ROUND('Форма 4а'!E349*'Текущие цены за единицу'!X24,2)</f>
        <v>0</v>
      </c>
      <c r="Y24" s="27">
        <f>IF(Определители!I24="9",ROUND((C24+E24)*(Начисления!M24/100)*('Форма 4а'!J365/100),2),0)</f>
        <v>0</v>
      </c>
      <c r="Z24" s="27">
        <f>IF(Определители!I24="9",ROUND((C24+E24)*(100-Начисления!M24/100)*('Форма 4а'!J365/100),2),0)</f>
        <v>0</v>
      </c>
      <c r="AA24" s="27">
        <f>IF(Определители!I24="9",ROUND((C24+E24)*(Начисления!M24/100)*('Форма 4а'!J368/100),2),0)</f>
        <v>0</v>
      </c>
      <c r="AB24" s="27">
        <f>IF(Определители!I24="9",ROUND((C24+E24)*(100-Начисления!M24/100)*('Форма 4а'!J368/100),2),0)</f>
        <v>0</v>
      </c>
      <c r="AC24" s="27">
        <f>IF(Определители!I24="9",ROUND(B24*Начисления!M24/100,2),0)</f>
        <v>0</v>
      </c>
      <c r="AD24" s="27">
        <f>IF(Определители!I24="9",ROUND(B24*(100-Начисления!M24)/100,2),0)</f>
        <v>0</v>
      </c>
      <c r="AE24" s="27">
        <f>ROUND('Форма 4а'!E349*'Текущие цены за единицу'!AE24,2)</f>
        <v>0</v>
      </c>
      <c r="AH24" s="27">
        <f>ROUND('Форма 4а'!E349*'Текущие цены за единицу'!AH24,2)</f>
        <v>0</v>
      </c>
      <c r="AI24" s="27">
        <f>ROUND('Форма 4а'!E349*'Текущие цены за единицу'!AI24,2)</f>
        <v>0</v>
      </c>
      <c r="AJ24" s="27">
        <f>ROUND('Форма 4а'!E349*'Текущие цены за единицу'!AJ24,2)</f>
        <v>0</v>
      </c>
      <c r="AK24" s="27">
        <f>ROUND('Форма 4а'!E349*'Текущие цены за единицу'!AK24,2)</f>
        <v>0</v>
      </c>
    </row>
  </sheetData>
  <sheetProtection/>
  <mergeCells count="6">
    <mergeCell ref="B7:L8"/>
    <mergeCell ref="B14:L15"/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X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8" customWidth="1"/>
    <col min="2" max="16384" width="9.140625" style="27" customWidth="1"/>
  </cols>
  <sheetData>
    <row r="1" spans="1:50" s="29" customFormat="1" ht="10.5">
      <c r="A1" s="5"/>
      <c r="B1" s="29" t="s">
        <v>212</v>
      </c>
      <c r="C1" s="29" t="s">
        <v>213</v>
      </c>
      <c r="D1" s="29" t="s">
        <v>214</v>
      </c>
      <c r="E1" s="29" t="s">
        <v>215</v>
      </c>
      <c r="F1" s="29" t="s">
        <v>216</v>
      </c>
      <c r="G1" s="29" t="s">
        <v>217</v>
      </c>
      <c r="H1" s="29" t="s">
        <v>218</v>
      </c>
      <c r="I1" s="29" t="s">
        <v>219</v>
      </c>
      <c r="J1" s="29" t="s">
        <v>220</v>
      </c>
      <c r="K1" s="29" t="s">
        <v>221</v>
      </c>
      <c r="L1" s="29" t="s">
        <v>222</v>
      </c>
      <c r="M1" s="29" t="s">
        <v>223</v>
      </c>
      <c r="N1" s="29" t="s">
        <v>224</v>
      </c>
      <c r="O1" s="29" t="s">
        <v>225</v>
      </c>
      <c r="P1" s="29" t="s">
        <v>226</v>
      </c>
      <c r="Q1" s="29" t="s">
        <v>227</v>
      </c>
      <c r="R1" s="29" t="s">
        <v>228</v>
      </c>
      <c r="S1" s="29" t="s">
        <v>229</v>
      </c>
      <c r="T1" s="29" t="s">
        <v>230</v>
      </c>
      <c r="U1" s="29" t="s">
        <v>231</v>
      </c>
      <c r="V1" s="29" t="s">
        <v>232</v>
      </c>
      <c r="W1" s="29" t="s">
        <v>233</v>
      </c>
      <c r="X1" s="29" t="s">
        <v>234</v>
      </c>
      <c r="Y1" s="29" t="s">
        <v>235</v>
      </c>
      <c r="Z1" s="29" t="s">
        <v>236</v>
      </c>
      <c r="AA1" s="29" t="s">
        <v>237</v>
      </c>
      <c r="AB1" s="29" t="s">
        <v>238</v>
      </c>
      <c r="AC1" s="29" t="s">
        <v>239</v>
      </c>
      <c r="AD1" s="29" t="s">
        <v>240</v>
      </c>
      <c r="AE1" s="29" t="s">
        <v>241</v>
      </c>
      <c r="AF1" s="29" t="s">
        <v>242</v>
      </c>
      <c r="AG1" s="29" t="s">
        <v>243</v>
      </c>
      <c r="AH1" s="29" t="s">
        <v>244</v>
      </c>
      <c r="AI1" s="29" t="s">
        <v>245</v>
      </c>
      <c r="AJ1" s="29" t="s">
        <v>246</v>
      </c>
      <c r="AK1" s="29" t="s">
        <v>247</v>
      </c>
      <c r="AL1" s="29" t="s">
        <v>248</v>
      </c>
      <c r="AM1" s="29" t="s">
        <v>249</v>
      </c>
      <c r="AN1" s="29" t="s">
        <v>250</v>
      </c>
      <c r="AO1" s="29" t="s">
        <v>251</v>
      </c>
      <c r="AP1" s="29" t="s">
        <v>252</v>
      </c>
      <c r="AQ1" s="29" t="s">
        <v>253</v>
      </c>
      <c r="AR1" s="29" t="s">
        <v>254</v>
      </c>
      <c r="AS1" s="29" t="s">
        <v>255</v>
      </c>
      <c r="AT1" s="29" t="s">
        <v>256</v>
      </c>
      <c r="AU1" s="29" t="s">
        <v>257</v>
      </c>
      <c r="AV1" s="29" t="s">
        <v>258</v>
      </c>
      <c r="AW1" s="29" t="s">
        <v>259</v>
      </c>
      <c r="AX1" s="29" t="s">
        <v>260</v>
      </c>
    </row>
    <row r="2" spans="1:12" ht="10.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0.5">
      <c r="A3" s="30"/>
      <c r="B3" s="49" t="s">
        <v>210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0.5">
      <c r="A4" s="30"/>
      <c r="B4" s="49" t="s">
        <v>211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0.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7" spans="2:12" ht="10.5">
      <c r="B7" s="41" t="s">
        <v>24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2:12" ht="10.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2:50" ht="10.5">
      <c r="B9" s="28">
        <v>1</v>
      </c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0</v>
      </c>
      <c r="L9" s="28">
        <v>0</v>
      </c>
      <c r="M9" s="28">
        <v>100</v>
      </c>
      <c r="N9" s="28">
        <v>0</v>
      </c>
      <c r="O9" s="28">
        <v>0</v>
      </c>
      <c r="P9" s="28">
        <v>1</v>
      </c>
      <c r="Q9" s="28">
        <v>1</v>
      </c>
      <c r="R9" s="28">
        <v>0</v>
      </c>
      <c r="S9" s="28">
        <v>0</v>
      </c>
      <c r="T9" s="28">
        <v>1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1.7</v>
      </c>
      <c r="AH9" s="28">
        <v>1.6</v>
      </c>
      <c r="AI9" s="28">
        <v>1.29</v>
      </c>
      <c r="AJ9" s="28">
        <v>0.092</v>
      </c>
      <c r="AK9" s="28">
        <v>0.18</v>
      </c>
      <c r="AL9" s="28">
        <v>1</v>
      </c>
      <c r="AM9" s="28">
        <v>1</v>
      </c>
      <c r="AN9" s="28">
        <v>0.2</v>
      </c>
      <c r="AO9" s="28">
        <v>1.5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100</v>
      </c>
      <c r="AV9" s="28">
        <v>1</v>
      </c>
      <c r="AW9" s="28">
        <v>1</v>
      </c>
      <c r="AX9" s="28">
        <v>1</v>
      </c>
    </row>
    <row r="10" spans="2:50" ht="10.5">
      <c r="B10" s="28">
        <v>1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0</v>
      </c>
      <c r="L10" s="28">
        <v>0</v>
      </c>
      <c r="M10" s="28">
        <v>100</v>
      </c>
      <c r="N10" s="28">
        <v>0</v>
      </c>
      <c r="O10" s="28">
        <v>0</v>
      </c>
      <c r="P10" s="28">
        <v>1</v>
      </c>
      <c r="Q10" s="28">
        <v>1</v>
      </c>
      <c r="R10" s="28">
        <v>0</v>
      </c>
      <c r="S10" s="28">
        <v>0</v>
      </c>
      <c r="T10" s="28">
        <v>1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1.7</v>
      </c>
      <c r="AH10" s="28">
        <v>1.6</v>
      </c>
      <c r="AI10" s="28">
        <v>1.29</v>
      </c>
      <c r="AJ10" s="28">
        <v>0.092</v>
      </c>
      <c r="AK10" s="28">
        <v>0.18</v>
      </c>
      <c r="AL10" s="28">
        <v>1</v>
      </c>
      <c r="AM10" s="28">
        <v>1</v>
      </c>
      <c r="AN10" s="28">
        <v>0.2</v>
      </c>
      <c r="AO10" s="28">
        <v>1.5</v>
      </c>
      <c r="AP10" s="28">
        <v>1</v>
      </c>
      <c r="AQ10" s="28">
        <v>1</v>
      </c>
      <c r="AR10" s="28">
        <v>1</v>
      </c>
      <c r="AS10" s="28">
        <v>1</v>
      </c>
      <c r="AT10" s="28">
        <v>1</v>
      </c>
      <c r="AU10" s="28">
        <v>100</v>
      </c>
      <c r="AV10" s="28">
        <v>1</v>
      </c>
      <c r="AW10" s="28">
        <v>1</v>
      </c>
      <c r="AX10" s="28">
        <v>1</v>
      </c>
    </row>
    <row r="11" spans="2:50" ht="10.5">
      <c r="B11" s="28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0</v>
      </c>
      <c r="L11" s="28">
        <v>0</v>
      </c>
      <c r="M11" s="28">
        <v>100</v>
      </c>
      <c r="N11" s="28">
        <v>0</v>
      </c>
      <c r="O11" s="28">
        <v>0</v>
      </c>
      <c r="P11" s="28">
        <v>1</v>
      </c>
      <c r="Q11" s="28">
        <v>1</v>
      </c>
      <c r="R11" s="28">
        <v>0</v>
      </c>
      <c r="S11" s="28">
        <v>0</v>
      </c>
      <c r="T11" s="28">
        <v>1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1.7</v>
      </c>
      <c r="AH11" s="28">
        <v>1.6</v>
      </c>
      <c r="AI11" s="28">
        <v>1.29</v>
      </c>
      <c r="AJ11" s="28">
        <v>0.092</v>
      </c>
      <c r="AK11" s="28">
        <v>0.18</v>
      </c>
      <c r="AL11" s="28">
        <v>1</v>
      </c>
      <c r="AM11" s="28">
        <v>1</v>
      </c>
      <c r="AN11" s="28">
        <v>0.2</v>
      </c>
      <c r="AO11" s="28">
        <v>1.5</v>
      </c>
      <c r="AP11" s="28">
        <v>1</v>
      </c>
      <c r="AQ11" s="28">
        <v>1</v>
      </c>
      <c r="AR11" s="28">
        <v>1</v>
      </c>
      <c r="AS11" s="28">
        <v>1</v>
      </c>
      <c r="AT11" s="28">
        <v>1</v>
      </c>
      <c r="AU11" s="28">
        <v>100</v>
      </c>
      <c r="AV11" s="28">
        <v>1</v>
      </c>
      <c r="AW11" s="28">
        <v>1</v>
      </c>
      <c r="AX11" s="28">
        <v>1</v>
      </c>
    </row>
    <row r="12" spans="2:50" ht="10.5">
      <c r="B12" s="28">
        <v>1</v>
      </c>
      <c r="C12" s="28">
        <v>1</v>
      </c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  <c r="K12" s="28">
        <v>0</v>
      </c>
      <c r="L12" s="28">
        <v>0</v>
      </c>
      <c r="M12" s="28">
        <v>100</v>
      </c>
      <c r="N12" s="28">
        <v>0</v>
      </c>
      <c r="O12" s="28">
        <v>0</v>
      </c>
      <c r="P12" s="28">
        <v>1</v>
      </c>
      <c r="Q12" s="28">
        <v>1</v>
      </c>
      <c r="R12" s="28">
        <v>0</v>
      </c>
      <c r="S12" s="28">
        <v>0</v>
      </c>
      <c r="T12" s="28">
        <v>1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1.7</v>
      </c>
      <c r="AH12" s="28">
        <v>1.6</v>
      </c>
      <c r="AI12" s="28">
        <v>1.29</v>
      </c>
      <c r="AJ12" s="28">
        <v>0.092</v>
      </c>
      <c r="AK12" s="28">
        <v>0.18</v>
      </c>
      <c r="AL12" s="28">
        <v>1</v>
      </c>
      <c r="AM12" s="28">
        <v>1</v>
      </c>
      <c r="AN12" s="28">
        <v>0.2</v>
      </c>
      <c r="AO12" s="28">
        <v>1.5</v>
      </c>
      <c r="AP12" s="28">
        <v>1</v>
      </c>
      <c r="AQ12" s="28">
        <v>1</v>
      </c>
      <c r="AR12" s="28">
        <v>1</v>
      </c>
      <c r="AS12" s="28">
        <v>1</v>
      </c>
      <c r="AT12" s="28">
        <v>1</v>
      </c>
      <c r="AU12" s="28">
        <v>100</v>
      </c>
      <c r="AV12" s="28">
        <v>1</v>
      </c>
      <c r="AW12" s="28">
        <v>1</v>
      </c>
      <c r="AX12" s="28">
        <v>1</v>
      </c>
    </row>
    <row r="14" spans="2:12" ht="10.5">
      <c r="B14" s="41" t="s">
        <v>123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2:12" ht="10.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2:50" ht="10.5">
      <c r="B16" s="28">
        <v>1</v>
      </c>
      <c r="C16" s="28">
        <v>1</v>
      </c>
      <c r="D16" s="28">
        <v>1.25</v>
      </c>
      <c r="E16" s="28">
        <v>1.25</v>
      </c>
      <c r="F16" s="28">
        <v>1.15</v>
      </c>
      <c r="G16" s="28">
        <v>1</v>
      </c>
      <c r="H16" s="28">
        <v>1</v>
      </c>
      <c r="I16" s="28">
        <v>1</v>
      </c>
      <c r="J16" s="28">
        <v>1</v>
      </c>
      <c r="K16" s="28">
        <v>0</v>
      </c>
      <c r="L16" s="28">
        <v>0</v>
      </c>
      <c r="M16" s="28">
        <v>100</v>
      </c>
      <c r="N16" s="28">
        <v>0</v>
      </c>
      <c r="O16" s="28">
        <v>0</v>
      </c>
      <c r="P16" s="28">
        <v>1</v>
      </c>
      <c r="Q16" s="28">
        <v>1</v>
      </c>
      <c r="R16" s="28">
        <v>0</v>
      </c>
      <c r="S16" s="28">
        <v>0</v>
      </c>
      <c r="T16" s="28">
        <v>1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1.7</v>
      </c>
      <c r="AH16" s="28">
        <v>1.6</v>
      </c>
      <c r="AI16" s="28">
        <v>1.29</v>
      </c>
      <c r="AJ16" s="28">
        <v>0.092</v>
      </c>
      <c r="AK16" s="28">
        <v>0.18</v>
      </c>
      <c r="AL16" s="28">
        <v>1</v>
      </c>
      <c r="AM16" s="28">
        <v>1</v>
      </c>
      <c r="AN16" s="28">
        <v>0.2</v>
      </c>
      <c r="AO16" s="28">
        <v>1.5</v>
      </c>
      <c r="AP16" s="28">
        <v>1</v>
      </c>
      <c r="AQ16" s="28">
        <v>1</v>
      </c>
      <c r="AR16" s="28">
        <v>1</v>
      </c>
      <c r="AS16" s="28">
        <v>1</v>
      </c>
      <c r="AT16" s="28">
        <v>1</v>
      </c>
      <c r="AU16" s="28">
        <v>100</v>
      </c>
      <c r="AV16" s="28">
        <v>1</v>
      </c>
      <c r="AW16" s="28">
        <v>1</v>
      </c>
      <c r="AX16" s="28">
        <v>1</v>
      </c>
    </row>
    <row r="17" spans="2:50" ht="10.5">
      <c r="B17" s="28">
        <v>1</v>
      </c>
      <c r="C17" s="28">
        <v>1</v>
      </c>
      <c r="D17" s="28">
        <v>1.25</v>
      </c>
      <c r="E17" s="28">
        <v>1.25</v>
      </c>
      <c r="F17" s="28">
        <v>1.15</v>
      </c>
      <c r="G17" s="28">
        <v>1</v>
      </c>
      <c r="H17" s="28">
        <v>1</v>
      </c>
      <c r="I17" s="28">
        <v>1</v>
      </c>
      <c r="J17" s="28">
        <v>1</v>
      </c>
      <c r="K17" s="28">
        <v>0</v>
      </c>
      <c r="L17" s="28">
        <v>0</v>
      </c>
      <c r="M17" s="28">
        <v>100</v>
      </c>
      <c r="N17" s="28">
        <v>0</v>
      </c>
      <c r="O17" s="28">
        <v>0</v>
      </c>
      <c r="P17" s="28">
        <v>1</v>
      </c>
      <c r="Q17" s="28">
        <v>1</v>
      </c>
      <c r="R17" s="28">
        <v>0</v>
      </c>
      <c r="S17" s="28">
        <v>0</v>
      </c>
      <c r="T17" s="28">
        <v>1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1.7</v>
      </c>
      <c r="AH17" s="28">
        <v>1.6</v>
      </c>
      <c r="AI17" s="28">
        <v>1.29</v>
      </c>
      <c r="AJ17" s="28">
        <v>0.092</v>
      </c>
      <c r="AK17" s="28">
        <v>0.18</v>
      </c>
      <c r="AL17" s="28">
        <v>1</v>
      </c>
      <c r="AM17" s="28">
        <v>1</v>
      </c>
      <c r="AN17" s="28">
        <v>0.2</v>
      </c>
      <c r="AO17" s="28">
        <v>1.5</v>
      </c>
      <c r="AP17" s="28">
        <v>1</v>
      </c>
      <c r="AQ17" s="28">
        <v>1</v>
      </c>
      <c r="AR17" s="28">
        <v>1</v>
      </c>
      <c r="AS17" s="28">
        <v>1</v>
      </c>
      <c r="AT17" s="28">
        <v>1</v>
      </c>
      <c r="AU17" s="28">
        <v>100</v>
      </c>
      <c r="AV17" s="28">
        <v>1</v>
      </c>
      <c r="AW17" s="28">
        <v>1</v>
      </c>
      <c r="AX17" s="28">
        <v>1</v>
      </c>
    </row>
    <row r="18" spans="2:50" ht="10.5">
      <c r="B18" s="28">
        <v>1</v>
      </c>
      <c r="C18" s="28">
        <v>1</v>
      </c>
      <c r="D18" s="28">
        <v>1.25</v>
      </c>
      <c r="E18" s="28">
        <v>1.25</v>
      </c>
      <c r="F18" s="28">
        <v>1.15</v>
      </c>
      <c r="G18" s="28">
        <v>1</v>
      </c>
      <c r="H18" s="28">
        <v>1</v>
      </c>
      <c r="I18" s="28">
        <v>1</v>
      </c>
      <c r="J18" s="28">
        <v>1</v>
      </c>
      <c r="K18" s="28">
        <v>0</v>
      </c>
      <c r="L18" s="28">
        <v>0</v>
      </c>
      <c r="M18" s="28">
        <v>100</v>
      </c>
      <c r="N18" s="28">
        <v>0</v>
      </c>
      <c r="O18" s="28">
        <v>0</v>
      </c>
      <c r="P18" s="28">
        <v>1</v>
      </c>
      <c r="Q18" s="28">
        <v>1</v>
      </c>
      <c r="R18" s="28">
        <v>0</v>
      </c>
      <c r="S18" s="28">
        <v>0</v>
      </c>
      <c r="T18" s="28">
        <v>1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1.7</v>
      </c>
      <c r="AH18" s="28">
        <v>1.6</v>
      </c>
      <c r="AI18" s="28">
        <v>1.29</v>
      </c>
      <c r="AJ18" s="28">
        <v>0.092</v>
      </c>
      <c r="AK18" s="28">
        <v>0.18</v>
      </c>
      <c r="AL18" s="28">
        <v>1</v>
      </c>
      <c r="AM18" s="28">
        <v>1</v>
      </c>
      <c r="AN18" s="28">
        <v>0.2</v>
      </c>
      <c r="AO18" s="28">
        <v>1.5</v>
      </c>
      <c r="AP18" s="28">
        <v>1</v>
      </c>
      <c r="AQ18" s="28">
        <v>1</v>
      </c>
      <c r="AR18" s="28">
        <v>1</v>
      </c>
      <c r="AS18" s="28">
        <v>1</v>
      </c>
      <c r="AT18" s="28">
        <v>1</v>
      </c>
      <c r="AU18" s="28">
        <v>100</v>
      </c>
      <c r="AV18" s="28">
        <v>1</v>
      </c>
      <c r="AW18" s="28">
        <v>1</v>
      </c>
      <c r="AX18" s="28">
        <v>1</v>
      </c>
    </row>
    <row r="19" spans="2:50" ht="10.5">
      <c r="B19" s="28">
        <v>1</v>
      </c>
      <c r="C19" s="28">
        <v>1</v>
      </c>
      <c r="D19" s="28">
        <v>1.25</v>
      </c>
      <c r="E19" s="28">
        <v>1.25</v>
      </c>
      <c r="F19" s="28">
        <v>1.15</v>
      </c>
      <c r="G19" s="28">
        <v>1</v>
      </c>
      <c r="H19" s="28">
        <v>1</v>
      </c>
      <c r="I19" s="28">
        <v>1</v>
      </c>
      <c r="J19" s="28">
        <v>1</v>
      </c>
      <c r="K19" s="28">
        <v>0</v>
      </c>
      <c r="L19" s="28">
        <v>0</v>
      </c>
      <c r="M19" s="28">
        <v>100</v>
      </c>
      <c r="N19" s="28">
        <v>0</v>
      </c>
      <c r="O19" s="28">
        <v>0</v>
      </c>
      <c r="P19" s="28">
        <v>1</v>
      </c>
      <c r="Q19" s="28">
        <v>1</v>
      </c>
      <c r="R19" s="28">
        <v>0</v>
      </c>
      <c r="S19" s="28">
        <v>0</v>
      </c>
      <c r="T19" s="28">
        <v>1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1.7</v>
      </c>
      <c r="AH19" s="28">
        <v>1.6</v>
      </c>
      <c r="AI19" s="28">
        <v>1.29</v>
      </c>
      <c r="AJ19" s="28">
        <v>0.092</v>
      </c>
      <c r="AK19" s="28">
        <v>0.18</v>
      </c>
      <c r="AL19" s="28">
        <v>1</v>
      </c>
      <c r="AM19" s="28">
        <v>1</v>
      </c>
      <c r="AN19" s="28">
        <v>0.2</v>
      </c>
      <c r="AO19" s="28">
        <v>1.5</v>
      </c>
      <c r="AP19" s="28">
        <v>1</v>
      </c>
      <c r="AQ19" s="28">
        <v>1</v>
      </c>
      <c r="AR19" s="28">
        <v>1</v>
      </c>
      <c r="AS19" s="28">
        <v>1</v>
      </c>
      <c r="AT19" s="28">
        <v>1</v>
      </c>
      <c r="AU19" s="28">
        <v>100</v>
      </c>
      <c r="AV19" s="28">
        <v>1</v>
      </c>
      <c r="AW19" s="28">
        <v>1</v>
      </c>
      <c r="AX19" s="28">
        <v>1</v>
      </c>
    </row>
    <row r="20" spans="2:50" ht="10.5">
      <c r="B20" s="28">
        <v>1</v>
      </c>
      <c r="C20" s="28">
        <v>1</v>
      </c>
      <c r="D20" s="28">
        <v>2.5</v>
      </c>
      <c r="E20" s="28">
        <v>2.5</v>
      </c>
      <c r="F20" s="28">
        <v>2.3</v>
      </c>
      <c r="G20" s="28">
        <v>1</v>
      </c>
      <c r="H20" s="28">
        <v>1</v>
      </c>
      <c r="I20" s="28">
        <v>1</v>
      </c>
      <c r="J20" s="28">
        <v>1</v>
      </c>
      <c r="K20" s="28">
        <v>0</v>
      </c>
      <c r="L20" s="28">
        <v>0</v>
      </c>
      <c r="M20" s="28">
        <v>100</v>
      </c>
      <c r="N20" s="28">
        <v>0</v>
      </c>
      <c r="O20" s="28">
        <v>0</v>
      </c>
      <c r="P20" s="28">
        <v>1</v>
      </c>
      <c r="Q20" s="28">
        <v>1</v>
      </c>
      <c r="R20" s="28">
        <v>0</v>
      </c>
      <c r="S20" s="28">
        <v>0</v>
      </c>
      <c r="T20" s="28">
        <v>1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1.7</v>
      </c>
      <c r="AH20" s="28">
        <v>1.6</v>
      </c>
      <c r="AI20" s="28">
        <v>1.29</v>
      </c>
      <c r="AJ20" s="28">
        <v>0.092</v>
      </c>
      <c r="AK20" s="28">
        <v>0.18</v>
      </c>
      <c r="AL20" s="28">
        <v>1</v>
      </c>
      <c r="AM20" s="28">
        <v>1</v>
      </c>
      <c r="AN20" s="28">
        <v>0.2</v>
      </c>
      <c r="AO20" s="28">
        <v>1.5</v>
      </c>
      <c r="AP20" s="28">
        <v>1</v>
      </c>
      <c r="AQ20" s="28">
        <v>1</v>
      </c>
      <c r="AR20" s="28">
        <v>1</v>
      </c>
      <c r="AS20" s="28">
        <v>1</v>
      </c>
      <c r="AT20" s="28">
        <v>1</v>
      </c>
      <c r="AU20" s="28">
        <v>100</v>
      </c>
      <c r="AV20" s="28">
        <v>1</v>
      </c>
      <c r="AW20" s="28">
        <v>2</v>
      </c>
      <c r="AX20" s="28">
        <v>1</v>
      </c>
    </row>
    <row r="21" spans="2:50" ht="10.5">
      <c r="B21" s="28">
        <v>1</v>
      </c>
      <c r="C21" s="28">
        <v>1</v>
      </c>
      <c r="D21" s="28">
        <v>1.25</v>
      </c>
      <c r="E21" s="28">
        <v>1.25</v>
      </c>
      <c r="F21" s="28">
        <v>1.15</v>
      </c>
      <c r="G21" s="28">
        <v>1</v>
      </c>
      <c r="H21" s="28">
        <v>1</v>
      </c>
      <c r="I21" s="28">
        <v>1</v>
      </c>
      <c r="J21" s="28">
        <v>1</v>
      </c>
      <c r="K21" s="28">
        <v>0</v>
      </c>
      <c r="L21" s="28">
        <v>0</v>
      </c>
      <c r="M21" s="28">
        <v>100</v>
      </c>
      <c r="N21" s="28">
        <v>0</v>
      </c>
      <c r="O21" s="28">
        <v>0</v>
      </c>
      <c r="P21" s="28">
        <v>1</v>
      </c>
      <c r="Q21" s="28">
        <v>1</v>
      </c>
      <c r="R21" s="28">
        <v>0</v>
      </c>
      <c r="S21" s="28">
        <v>0</v>
      </c>
      <c r="T21" s="28">
        <v>1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1.7</v>
      </c>
      <c r="AH21" s="28">
        <v>1.6</v>
      </c>
      <c r="AI21" s="28">
        <v>1.29</v>
      </c>
      <c r="AJ21" s="28">
        <v>0.092</v>
      </c>
      <c r="AK21" s="28">
        <v>0.18</v>
      </c>
      <c r="AL21" s="28">
        <v>1</v>
      </c>
      <c r="AM21" s="28">
        <v>1</v>
      </c>
      <c r="AN21" s="28">
        <v>0.2</v>
      </c>
      <c r="AO21" s="28">
        <v>1.5</v>
      </c>
      <c r="AP21" s="28">
        <v>1</v>
      </c>
      <c r="AQ21" s="28">
        <v>1</v>
      </c>
      <c r="AR21" s="28">
        <v>1</v>
      </c>
      <c r="AS21" s="28">
        <v>1</v>
      </c>
      <c r="AT21" s="28">
        <v>1</v>
      </c>
      <c r="AU21" s="28">
        <v>100</v>
      </c>
      <c r="AV21" s="28">
        <v>1</v>
      </c>
      <c r="AW21" s="28">
        <v>1</v>
      </c>
      <c r="AX21" s="28">
        <v>1</v>
      </c>
    </row>
    <row r="22" spans="2:50" ht="10.5">
      <c r="B22" s="28">
        <v>1</v>
      </c>
      <c r="C22" s="28">
        <v>1</v>
      </c>
      <c r="D22" s="28">
        <v>1.25</v>
      </c>
      <c r="E22" s="28">
        <v>1.25</v>
      </c>
      <c r="F22" s="28">
        <v>1.15</v>
      </c>
      <c r="G22" s="28">
        <v>1</v>
      </c>
      <c r="H22" s="28">
        <v>1</v>
      </c>
      <c r="I22" s="28">
        <v>1</v>
      </c>
      <c r="J22" s="28">
        <v>1</v>
      </c>
      <c r="K22" s="28">
        <v>0</v>
      </c>
      <c r="L22" s="28">
        <v>0</v>
      </c>
      <c r="M22" s="28">
        <v>100</v>
      </c>
      <c r="N22" s="28">
        <v>0</v>
      </c>
      <c r="O22" s="28">
        <v>0</v>
      </c>
      <c r="P22" s="28">
        <v>1</v>
      </c>
      <c r="Q22" s="28">
        <v>1</v>
      </c>
      <c r="R22" s="28">
        <v>0</v>
      </c>
      <c r="S22" s="28">
        <v>0</v>
      </c>
      <c r="T22" s="28">
        <v>1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1.7</v>
      </c>
      <c r="AH22" s="28">
        <v>1.6</v>
      </c>
      <c r="AI22" s="28">
        <v>1.29</v>
      </c>
      <c r="AJ22" s="28">
        <v>0.092</v>
      </c>
      <c r="AK22" s="28">
        <v>0.18</v>
      </c>
      <c r="AL22" s="28">
        <v>1</v>
      </c>
      <c r="AM22" s="28">
        <v>1</v>
      </c>
      <c r="AN22" s="28">
        <v>0.2</v>
      </c>
      <c r="AO22" s="28">
        <v>1.5</v>
      </c>
      <c r="AP22" s="28">
        <v>1</v>
      </c>
      <c r="AQ22" s="28">
        <v>1</v>
      </c>
      <c r="AR22" s="28">
        <v>1</v>
      </c>
      <c r="AS22" s="28">
        <v>1</v>
      </c>
      <c r="AT22" s="28">
        <v>1</v>
      </c>
      <c r="AU22" s="28">
        <v>100</v>
      </c>
      <c r="AV22" s="28">
        <v>1</v>
      </c>
      <c r="AW22" s="28">
        <v>1</v>
      </c>
      <c r="AX22" s="28">
        <v>1</v>
      </c>
    </row>
    <row r="23" spans="2:50" ht="10.5">
      <c r="B23" s="28">
        <v>1</v>
      </c>
      <c r="C23" s="28">
        <v>1</v>
      </c>
      <c r="D23" s="28">
        <v>1.25</v>
      </c>
      <c r="E23" s="28">
        <v>1.25</v>
      </c>
      <c r="F23" s="28">
        <v>1.15</v>
      </c>
      <c r="G23" s="28">
        <v>1</v>
      </c>
      <c r="H23" s="28">
        <v>1</v>
      </c>
      <c r="I23" s="28">
        <v>1</v>
      </c>
      <c r="J23" s="28">
        <v>1</v>
      </c>
      <c r="K23" s="28">
        <v>0</v>
      </c>
      <c r="L23" s="28">
        <v>0</v>
      </c>
      <c r="M23" s="28">
        <v>100</v>
      </c>
      <c r="N23" s="28">
        <v>0</v>
      </c>
      <c r="O23" s="28">
        <v>0</v>
      </c>
      <c r="P23" s="28">
        <v>1</v>
      </c>
      <c r="Q23" s="28">
        <v>1</v>
      </c>
      <c r="R23" s="28">
        <v>0</v>
      </c>
      <c r="S23" s="28">
        <v>0</v>
      </c>
      <c r="T23" s="28">
        <v>1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1.7</v>
      </c>
      <c r="AH23" s="28">
        <v>1.6</v>
      </c>
      <c r="AI23" s="28">
        <v>1.29</v>
      </c>
      <c r="AJ23" s="28">
        <v>0.092</v>
      </c>
      <c r="AK23" s="28">
        <v>0.18</v>
      </c>
      <c r="AL23" s="28">
        <v>1</v>
      </c>
      <c r="AM23" s="28">
        <v>1</v>
      </c>
      <c r="AN23" s="28">
        <v>0.2</v>
      </c>
      <c r="AO23" s="28">
        <v>1.5</v>
      </c>
      <c r="AP23" s="28">
        <v>1</v>
      </c>
      <c r="AQ23" s="28">
        <v>1</v>
      </c>
      <c r="AR23" s="28">
        <v>1</v>
      </c>
      <c r="AS23" s="28">
        <v>1</v>
      </c>
      <c r="AT23" s="28">
        <v>1</v>
      </c>
      <c r="AU23" s="28">
        <v>100</v>
      </c>
      <c r="AV23" s="28">
        <v>1</v>
      </c>
      <c r="AW23" s="28">
        <v>1</v>
      </c>
      <c r="AX23" s="28">
        <v>1</v>
      </c>
    </row>
    <row r="24" spans="2:50" ht="10.5">
      <c r="B24" s="28">
        <v>1</v>
      </c>
      <c r="C24" s="28">
        <v>1</v>
      </c>
      <c r="D24" s="28">
        <v>1.25</v>
      </c>
      <c r="E24" s="28">
        <v>1.25</v>
      </c>
      <c r="F24" s="28">
        <v>1.15</v>
      </c>
      <c r="G24" s="28">
        <v>1</v>
      </c>
      <c r="H24" s="28">
        <v>1</v>
      </c>
      <c r="I24" s="28">
        <v>1</v>
      </c>
      <c r="J24" s="28">
        <v>1</v>
      </c>
      <c r="K24" s="28">
        <v>0</v>
      </c>
      <c r="L24" s="28">
        <v>0</v>
      </c>
      <c r="M24" s="28">
        <v>100</v>
      </c>
      <c r="N24" s="28">
        <v>0</v>
      </c>
      <c r="O24" s="28">
        <v>0</v>
      </c>
      <c r="P24" s="28">
        <v>1</v>
      </c>
      <c r="Q24" s="28">
        <v>1</v>
      </c>
      <c r="R24" s="28">
        <v>0</v>
      </c>
      <c r="S24" s="28">
        <v>0</v>
      </c>
      <c r="T24" s="28">
        <v>1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1.7</v>
      </c>
      <c r="AH24" s="28">
        <v>1.6</v>
      </c>
      <c r="AI24" s="28">
        <v>1.29</v>
      </c>
      <c r="AJ24" s="28">
        <v>0.092</v>
      </c>
      <c r="AK24" s="28">
        <v>0.18</v>
      </c>
      <c r="AL24" s="28">
        <v>1</v>
      </c>
      <c r="AM24" s="28">
        <v>1</v>
      </c>
      <c r="AN24" s="28">
        <v>0.2</v>
      </c>
      <c r="AO24" s="28">
        <v>1.5</v>
      </c>
      <c r="AP24" s="28">
        <v>1</v>
      </c>
      <c r="AQ24" s="28">
        <v>1</v>
      </c>
      <c r="AR24" s="28">
        <v>1</v>
      </c>
      <c r="AS24" s="28">
        <v>1</v>
      </c>
      <c r="AT24" s="28">
        <v>1</v>
      </c>
      <c r="AU24" s="28">
        <v>100</v>
      </c>
      <c r="AV24" s="28">
        <v>1</v>
      </c>
      <c r="AW24" s="28">
        <v>1</v>
      </c>
      <c r="AX24" s="28">
        <v>1</v>
      </c>
    </row>
  </sheetData>
  <sheetProtection/>
  <mergeCells count="6">
    <mergeCell ref="B7:L8"/>
    <mergeCell ref="B14:L15"/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L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33" customWidth="1"/>
    <col min="2" max="16384" width="9.140625" style="32" customWidth="1"/>
  </cols>
  <sheetData>
    <row r="1" spans="2:10" s="29" customFormat="1" ht="10.5">
      <c r="B1" s="29" t="s">
        <v>261</v>
      </c>
      <c r="C1" s="29" t="s">
        <v>262</v>
      </c>
      <c r="D1" s="29" t="s">
        <v>263</v>
      </c>
      <c r="E1" s="29" t="s">
        <v>264</v>
      </c>
      <c r="F1" s="29" t="s">
        <v>265</v>
      </c>
      <c r="G1" s="29" t="s">
        <v>266</v>
      </c>
      <c r="H1" s="29" t="s">
        <v>267</v>
      </c>
      <c r="I1" s="29" t="s">
        <v>268</v>
      </c>
      <c r="J1" s="29" t="s">
        <v>269</v>
      </c>
    </row>
    <row r="2" spans="1:12" ht="10.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0.5">
      <c r="A3" s="34"/>
      <c r="B3" s="53" t="s">
        <v>210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0.5">
      <c r="A4" s="34"/>
      <c r="B4" s="53" t="s">
        <v>211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0.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7" spans="2:12" ht="10.5">
      <c r="B7" s="50" t="s">
        <v>24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2:12" ht="10.5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0" ht="10.5">
      <c r="B9" s="32" t="s">
        <v>270</v>
      </c>
      <c r="C9" s="32" t="s">
        <v>270</v>
      </c>
      <c r="D9" s="32" t="s">
        <v>271</v>
      </c>
      <c r="E9" s="32" t="s">
        <v>271</v>
      </c>
      <c r="F9" s="32" t="s">
        <v>272</v>
      </c>
      <c r="G9" s="32" t="s">
        <v>271</v>
      </c>
      <c r="H9" s="32" t="s">
        <v>271</v>
      </c>
      <c r="I9" s="32" t="s">
        <v>273</v>
      </c>
      <c r="J9" s="32" t="s">
        <v>271</v>
      </c>
    </row>
    <row r="10" spans="2:10" ht="10.5">
      <c r="B10" s="32" t="s">
        <v>270</v>
      </c>
      <c r="C10" s="32" t="s">
        <v>270</v>
      </c>
      <c r="D10" s="32" t="s">
        <v>271</v>
      </c>
      <c r="E10" s="32" t="s">
        <v>271</v>
      </c>
      <c r="F10" s="32" t="s">
        <v>272</v>
      </c>
      <c r="G10" s="32" t="s">
        <v>271</v>
      </c>
      <c r="H10" s="32" t="s">
        <v>271</v>
      </c>
      <c r="I10" s="32" t="s">
        <v>273</v>
      </c>
      <c r="J10" s="32" t="s">
        <v>271</v>
      </c>
    </row>
    <row r="11" spans="2:10" ht="10.5">
      <c r="B11" s="32" t="s">
        <v>270</v>
      </c>
      <c r="C11" s="32" t="s">
        <v>270</v>
      </c>
      <c r="D11" s="32" t="s">
        <v>271</v>
      </c>
      <c r="E11" s="32" t="s">
        <v>271</v>
      </c>
      <c r="F11" s="32" t="s">
        <v>272</v>
      </c>
      <c r="G11" s="32" t="s">
        <v>271</v>
      </c>
      <c r="H11" s="32" t="s">
        <v>271</v>
      </c>
      <c r="I11" s="32" t="s">
        <v>273</v>
      </c>
      <c r="J11" s="32" t="s">
        <v>271</v>
      </c>
    </row>
    <row r="12" spans="2:10" ht="10.5">
      <c r="B12" s="32" t="s">
        <v>270</v>
      </c>
      <c r="C12" s="32" t="s">
        <v>270</v>
      </c>
      <c r="D12" s="32" t="s">
        <v>271</v>
      </c>
      <c r="E12" s="32" t="s">
        <v>271</v>
      </c>
      <c r="F12" s="32" t="s">
        <v>272</v>
      </c>
      <c r="G12" s="32" t="s">
        <v>271</v>
      </c>
      <c r="H12" s="32" t="s">
        <v>271</v>
      </c>
      <c r="I12" s="32" t="s">
        <v>273</v>
      </c>
      <c r="J12" s="32" t="s">
        <v>271</v>
      </c>
    </row>
    <row r="14" spans="2:12" ht="10.5">
      <c r="B14" s="50" t="s">
        <v>123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0.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2:10" ht="10.5">
      <c r="B16" s="32" t="s">
        <v>270</v>
      </c>
      <c r="C16" s="32" t="s">
        <v>270</v>
      </c>
      <c r="D16" s="32" t="s">
        <v>271</v>
      </c>
      <c r="E16" s="32" t="s">
        <v>271</v>
      </c>
      <c r="F16" s="32" t="s">
        <v>272</v>
      </c>
      <c r="G16" s="32" t="s">
        <v>271</v>
      </c>
      <c r="H16" s="32" t="s">
        <v>271</v>
      </c>
      <c r="I16" s="32" t="s">
        <v>273</v>
      </c>
      <c r="J16" s="32" t="s">
        <v>271</v>
      </c>
    </row>
    <row r="17" spans="2:10" ht="10.5">
      <c r="B17" s="32" t="s">
        <v>270</v>
      </c>
      <c r="C17" s="32" t="s">
        <v>270</v>
      </c>
      <c r="D17" s="32" t="s">
        <v>271</v>
      </c>
      <c r="E17" s="32" t="s">
        <v>271</v>
      </c>
      <c r="F17" s="32" t="s">
        <v>272</v>
      </c>
      <c r="G17" s="32" t="s">
        <v>271</v>
      </c>
      <c r="H17" s="32" t="s">
        <v>271</v>
      </c>
      <c r="I17" s="32" t="s">
        <v>273</v>
      </c>
      <c r="J17" s="32" t="s">
        <v>271</v>
      </c>
    </row>
    <row r="18" spans="2:10" ht="10.5">
      <c r="B18" s="32" t="s">
        <v>270</v>
      </c>
      <c r="C18" s="32" t="s">
        <v>270</v>
      </c>
      <c r="D18" s="32" t="s">
        <v>271</v>
      </c>
      <c r="E18" s="32" t="s">
        <v>271</v>
      </c>
      <c r="F18" s="32" t="s">
        <v>272</v>
      </c>
      <c r="G18" s="32" t="s">
        <v>271</v>
      </c>
      <c r="H18" s="32" t="s">
        <v>271</v>
      </c>
      <c r="I18" s="32" t="s">
        <v>273</v>
      </c>
      <c r="J18" s="32" t="s">
        <v>271</v>
      </c>
    </row>
    <row r="19" spans="2:10" ht="10.5">
      <c r="B19" s="32" t="s">
        <v>270</v>
      </c>
      <c r="C19" s="32" t="s">
        <v>270</v>
      </c>
      <c r="D19" s="32" t="s">
        <v>271</v>
      </c>
      <c r="E19" s="32" t="s">
        <v>271</v>
      </c>
      <c r="F19" s="32" t="s">
        <v>272</v>
      </c>
      <c r="G19" s="32" t="s">
        <v>271</v>
      </c>
      <c r="H19" s="32" t="s">
        <v>271</v>
      </c>
      <c r="I19" s="32" t="s">
        <v>273</v>
      </c>
      <c r="J19" s="32" t="s">
        <v>271</v>
      </c>
    </row>
    <row r="20" spans="2:10" ht="10.5">
      <c r="B20" s="32" t="s">
        <v>270</v>
      </c>
      <c r="C20" s="32" t="s">
        <v>270</v>
      </c>
      <c r="D20" s="32" t="s">
        <v>271</v>
      </c>
      <c r="E20" s="32" t="s">
        <v>271</v>
      </c>
      <c r="F20" s="32" t="s">
        <v>272</v>
      </c>
      <c r="G20" s="32" t="s">
        <v>271</v>
      </c>
      <c r="H20" s="32" t="s">
        <v>271</v>
      </c>
      <c r="I20" s="32" t="s">
        <v>273</v>
      </c>
      <c r="J20" s="32" t="s">
        <v>271</v>
      </c>
    </row>
    <row r="21" spans="2:10" ht="10.5">
      <c r="B21" s="32" t="s">
        <v>270</v>
      </c>
      <c r="C21" s="32" t="s">
        <v>270</v>
      </c>
      <c r="D21" s="32" t="s">
        <v>271</v>
      </c>
      <c r="E21" s="32" t="s">
        <v>271</v>
      </c>
      <c r="F21" s="32" t="s">
        <v>272</v>
      </c>
      <c r="G21" s="32" t="s">
        <v>271</v>
      </c>
      <c r="H21" s="32" t="s">
        <v>271</v>
      </c>
      <c r="I21" s="32" t="s">
        <v>273</v>
      </c>
      <c r="J21" s="32" t="s">
        <v>271</v>
      </c>
    </row>
    <row r="22" spans="2:10" ht="10.5">
      <c r="B22" s="32" t="s">
        <v>270</v>
      </c>
      <c r="C22" s="32" t="s">
        <v>270</v>
      </c>
      <c r="D22" s="32" t="s">
        <v>271</v>
      </c>
      <c r="E22" s="32" t="s">
        <v>271</v>
      </c>
      <c r="F22" s="32" t="s">
        <v>272</v>
      </c>
      <c r="G22" s="32" t="s">
        <v>271</v>
      </c>
      <c r="H22" s="32" t="s">
        <v>271</v>
      </c>
      <c r="I22" s="32" t="s">
        <v>273</v>
      </c>
      <c r="J22" s="32" t="s">
        <v>271</v>
      </c>
    </row>
    <row r="23" spans="2:10" ht="10.5">
      <c r="B23" s="32" t="s">
        <v>270</v>
      </c>
      <c r="C23" s="32" t="s">
        <v>270</v>
      </c>
      <c r="D23" s="32" t="s">
        <v>271</v>
      </c>
      <c r="E23" s="32" t="s">
        <v>271</v>
      </c>
      <c r="F23" s="32" t="s">
        <v>272</v>
      </c>
      <c r="G23" s="32" t="s">
        <v>271</v>
      </c>
      <c r="H23" s="32" t="s">
        <v>271</v>
      </c>
      <c r="I23" s="32" t="s">
        <v>273</v>
      </c>
      <c r="J23" s="32" t="s">
        <v>271</v>
      </c>
    </row>
    <row r="24" spans="2:10" ht="10.5">
      <c r="B24" s="32" t="s">
        <v>270</v>
      </c>
      <c r="C24" s="32" t="s">
        <v>270</v>
      </c>
      <c r="D24" s="32" t="s">
        <v>271</v>
      </c>
      <c r="E24" s="32" t="s">
        <v>271</v>
      </c>
      <c r="F24" s="32" t="s">
        <v>272</v>
      </c>
      <c r="G24" s="32" t="s">
        <v>271</v>
      </c>
      <c r="H24" s="32" t="s">
        <v>271</v>
      </c>
      <c r="I24" s="32" t="s">
        <v>273</v>
      </c>
      <c r="J24" s="32" t="s">
        <v>271</v>
      </c>
    </row>
  </sheetData>
  <sheetProtection/>
  <mergeCells count="6">
    <mergeCell ref="B7:L8"/>
    <mergeCell ref="B14:L15"/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2:N27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8" customWidth="1"/>
    <col min="2" max="2" width="44.421875" style="7" customWidth="1"/>
    <col min="3" max="3" width="3.421875" style="32" customWidth="1"/>
    <col min="4" max="4" width="6.00390625" style="35" customWidth="1"/>
    <col min="5" max="5" width="6.00390625" style="7" customWidth="1"/>
    <col min="6" max="9" width="12.7109375" style="35" customWidth="1"/>
    <col min="10" max="11" width="18.7109375" style="35" customWidth="1"/>
    <col min="12" max="12" width="12.7109375" style="35" customWidth="1"/>
    <col min="13" max="13" width="9.140625" style="35" customWidth="1"/>
    <col min="14" max="14" width="3.421875" style="32" hidden="1" customWidth="1"/>
    <col min="15" max="16384" width="9.140625" style="35" customWidth="1"/>
  </cols>
  <sheetData>
    <row r="2" spans="1:14" ht="10.5">
      <c r="A2" s="47"/>
      <c r="B2" s="54"/>
      <c r="C2" s="54"/>
      <c r="D2" s="55"/>
      <c r="E2" s="54"/>
      <c r="F2" s="55"/>
      <c r="G2" s="55"/>
      <c r="H2" s="55"/>
      <c r="I2" s="55"/>
      <c r="J2" s="55"/>
      <c r="K2" s="55"/>
      <c r="L2" s="55"/>
      <c r="N2" s="35"/>
    </row>
    <row r="3" spans="1:14" ht="10.5">
      <c r="A3" s="30"/>
      <c r="B3" s="49" t="s">
        <v>210</v>
      </c>
      <c r="C3" s="49"/>
      <c r="D3" s="49"/>
      <c r="E3" s="49"/>
      <c r="F3" s="49"/>
      <c r="G3" s="49"/>
      <c r="H3" s="49"/>
      <c r="I3" s="49"/>
      <c r="J3" s="49"/>
      <c r="K3" s="49"/>
      <c r="L3" s="49"/>
      <c r="N3" s="35"/>
    </row>
    <row r="4" spans="1:14" ht="10.5">
      <c r="A4" s="30"/>
      <c r="B4" s="49" t="s">
        <v>211</v>
      </c>
      <c r="C4" s="49"/>
      <c r="D4" s="49"/>
      <c r="E4" s="49"/>
      <c r="F4" s="49"/>
      <c r="G4" s="49"/>
      <c r="H4" s="49"/>
      <c r="I4" s="49"/>
      <c r="J4" s="49"/>
      <c r="K4" s="49"/>
      <c r="L4" s="49"/>
      <c r="N4" s="35"/>
    </row>
    <row r="5" spans="1:14" ht="10.5">
      <c r="A5" s="47"/>
      <c r="B5" s="54"/>
      <c r="C5" s="54"/>
      <c r="D5" s="55"/>
      <c r="E5" s="54"/>
      <c r="F5" s="55"/>
      <c r="G5" s="55"/>
      <c r="H5" s="55"/>
      <c r="I5" s="55"/>
      <c r="J5" s="55"/>
      <c r="K5" s="55"/>
      <c r="L5" s="55"/>
      <c r="N5" s="35"/>
    </row>
    <row r="7" spans="2:14" ht="10.5">
      <c r="B7" s="41" t="s">
        <v>24</v>
      </c>
      <c r="C7" s="41"/>
      <c r="D7" s="41"/>
      <c r="E7" s="41"/>
      <c r="F7" s="41"/>
      <c r="G7" s="41"/>
      <c r="H7" s="41"/>
      <c r="I7" s="41"/>
      <c r="J7" s="41"/>
      <c r="K7" s="41"/>
      <c r="L7" s="41"/>
      <c r="N7" s="35"/>
    </row>
    <row r="8" spans="2:12" ht="10.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 s="29" customFormat="1" ht="10.5">
      <c r="A9" s="5"/>
      <c r="B9" s="29" t="s">
        <v>274</v>
      </c>
      <c r="C9" s="29" t="s">
        <v>275</v>
      </c>
      <c r="D9" s="36" t="s">
        <v>276</v>
      </c>
      <c r="E9" s="29" t="s">
        <v>277</v>
      </c>
      <c r="F9" s="29" t="s">
        <v>278</v>
      </c>
      <c r="G9" s="29" t="s">
        <v>279</v>
      </c>
      <c r="H9" s="29" t="s">
        <v>280</v>
      </c>
      <c r="I9" s="29" t="s">
        <v>281</v>
      </c>
      <c r="J9" s="29" t="s">
        <v>282</v>
      </c>
      <c r="K9" s="29" t="s">
        <v>283</v>
      </c>
      <c r="L9" s="29" t="s">
        <v>284</v>
      </c>
      <c r="M9" s="29" t="s">
        <v>285</v>
      </c>
    </row>
    <row r="10" spans="1:14" ht="10.5">
      <c r="A10" s="28">
        <v>1</v>
      </c>
      <c r="B10" s="7" t="s">
        <v>170</v>
      </c>
      <c r="C10" s="32" t="s">
        <v>286</v>
      </c>
      <c r="D10" s="35">
        <v>0</v>
      </c>
      <c r="E10" s="35"/>
      <c r="F10" s="27">
        <f>ROUND(SUM('Базовые цены с учетом расхода'!B9:B12),2)</f>
        <v>143.3</v>
      </c>
      <c r="G10" s="27">
        <f>ROUND(SUM('Базовые цены с учетом расхода'!C9:C12),2)</f>
        <v>141.27</v>
      </c>
      <c r="H10" s="27">
        <f>ROUND(SUM('Базовые цены с учетом расхода'!D9:D12),2)</f>
        <v>2.03</v>
      </c>
      <c r="I10" s="27">
        <f>ROUND(SUM('Базовые цены с учетом расхода'!E9:E12),2)</f>
        <v>0.88</v>
      </c>
      <c r="J10" s="31">
        <f>ROUND(SUM('Базовые цены с учетом расхода'!I9:I12),8)</f>
        <v>18.111</v>
      </c>
      <c r="K10" s="31">
        <f>ROUND(SUM('Базовые цены с учетом расхода'!K9:K12),8)</f>
        <v>0.065</v>
      </c>
      <c r="L10" s="27">
        <f>ROUND(SUM('Базовые цены с учетом расхода'!F9:F12),2)</f>
        <v>0</v>
      </c>
      <c r="N10" s="35"/>
    </row>
    <row r="11" spans="1:12" ht="10.5">
      <c r="A11" s="28">
        <v>2</v>
      </c>
      <c r="B11" s="7" t="s">
        <v>71</v>
      </c>
      <c r="C11" s="32" t="s">
        <v>287</v>
      </c>
      <c r="D11" s="35">
        <v>0</v>
      </c>
      <c r="F11" s="27">
        <f>ROUND(SUMIF(Определители!I9:I12,"= ",'Базовые цены с учетом расхода'!B9:B12),2)</f>
        <v>0</v>
      </c>
      <c r="G11" s="27">
        <f>ROUND(SUMIF(Определители!I9:I12,"= ",'Базовые цены с учетом расхода'!C9:C12),2)</f>
        <v>0</v>
      </c>
      <c r="H11" s="27">
        <f>ROUND(SUMIF(Определители!I9:I12,"= ",'Базовые цены с учетом расхода'!D9:D12),2)</f>
        <v>0</v>
      </c>
      <c r="I11" s="27">
        <f>ROUND(SUMIF(Определители!I9:I12,"= ",'Базовые цены с учетом расхода'!E9:E12),2)</f>
        <v>0</v>
      </c>
      <c r="J11" s="31">
        <f>ROUND(SUMIF(Определители!I9:I12,"= ",'Базовые цены с учетом расхода'!I9:I12),8)</f>
        <v>0</v>
      </c>
      <c r="K11" s="31">
        <f>ROUND(SUMIF(Определители!I9:I12,"= ",'Базовые цены с учетом расхода'!K9:K12),8)</f>
        <v>0</v>
      </c>
      <c r="L11" s="27">
        <f>ROUND(SUMIF(Определители!I9:I12,"= ",'Базовые цены с учетом расхода'!F9:F12),2)</f>
        <v>0</v>
      </c>
    </row>
    <row r="12" spans="1:12" ht="10.5">
      <c r="A12" s="28">
        <v>3</v>
      </c>
      <c r="B12" s="7" t="s">
        <v>72</v>
      </c>
      <c r="C12" s="32" t="s">
        <v>287</v>
      </c>
      <c r="D12" s="35">
        <v>0</v>
      </c>
      <c r="F12" s="27">
        <f>ROUND(СУММПРОИЗВЕСЛИ(0.01,Определители!I9:I12," ",'Базовые цены с учетом расхода'!B9:B12,Начисления!X9:X12,0),2)</f>
        <v>0</v>
      </c>
      <c r="G12" s="27"/>
      <c r="H12" s="27"/>
      <c r="I12" s="27"/>
      <c r="J12" s="31"/>
      <c r="K12" s="31"/>
      <c r="L12" s="27"/>
    </row>
    <row r="13" spans="1:12" ht="10.5">
      <c r="A13" s="28">
        <v>4</v>
      </c>
      <c r="B13" s="7" t="s">
        <v>73</v>
      </c>
      <c r="C13" s="32" t="s">
        <v>287</v>
      </c>
      <c r="D13" s="35">
        <v>0</v>
      </c>
      <c r="F13" s="27">
        <f>ROUND(СУММПРОИЗВЕСЛИ(0.01,Определители!I9:I12," ",'Базовые цены с учетом расхода'!B9:B12,Начисления!Y9:Y12,0),2)</f>
        <v>0</v>
      </c>
      <c r="G13" s="27"/>
      <c r="H13" s="27"/>
      <c r="I13" s="27"/>
      <c r="J13" s="31"/>
      <c r="K13" s="31"/>
      <c r="L13" s="27"/>
    </row>
    <row r="14" spans="1:12" ht="10.5">
      <c r="A14" s="28">
        <v>5</v>
      </c>
      <c r="B14" s="7" t="s">
        <v>74</v>
      </c>
      <c r="C14" s="32" t="s">
        <v>287</v>
      </c>
      <c r="D14" s="35">
        <v>0</v>
      </c>
      <c r="F14" s="27">
        <f>ROUND(ТРАНСПРАСХОД(Определители!B9:B12,Определители!H9:H12,Определители!I9:I12,'Базовые цены с учетом расхода'!B9:B12,Начисления!Z9:Z12,Начисления!AA9:AA12),2)</f>
        <v>0</v>
      </c>
      <c r="G14" s="27"/>
      <c r="H14" s="27"/>
      <c r="I14" s="27"/>
      <c r="J14" s="31"/>
      <c r="K14" s="31"/>
      <c r="L14" s="27"/>
    </row>
    <row r="15" spans="1:12" ht="10.5">
      <c r="A15" s="28">
        <v>6</v>
      </c>
      <c r="B15" s="7" t="s">
        <v>75</v>
      </c>
      <c r="C15" s="32" t="s">
        <v>287</v>
      </c>
      <c r="D15" s="35">
        <v>0</v>
      </c>
      <c r="F15" s="27">
        <f>ROUND(СУММПРОИЗВЕСЛИ(0.01,Определители!I9:I12," ",'Базовые цены с учетом расхода'!B9:B12,Начисления!AC9:AC12,0),2)</f>
        <v>0</v>
      </c>
      <c r="G15" s="27"/>
      <c r="H15" s="27"/>
      <c r="I15" s="27"/>
      <c r="J15" s="31"/>
      <c r="K15" s="31"/>
      <c r="L15" s="27"/>
    </row>
    <row r="16" spans="1:12" ht="10.5">
      <c r="A16" s="28">
        <v>7</v>
      </c>
      <c r="B16" s="7" t="s">
        <v>76</v>
      </c>
      <c r="C16" s="32" t="s">
        <v>287</v>
      </c>
      <c r="D16" s="35">
        <v>0</v>
      </c>
      <c r="F16" s="27">
        <f>ROUND(СУММПРОИЗВЕСЛИ(0.01,Определители!I9:I12," ",'Базовые цены с учетом расхода'!B9:B12,Начисления!AF9:AF12,0),2)</f>
        <v>0</v>
      </c>
      <c r="G16" s="27"/>
      <c r="H16" s="27"/>
      <c r="I16" s="27"/>
      <c r="J16" s="31"/>
      <c r="K16" s="31"/>
      <c r="L16" s="27"/>
    </row>
    <row r="17" spans="1:12" ht="10.5">
      <c r="A17" s="28">
        <v>8</v>
      </c>
      <c r="B17" s="7" t="s">
        <v>77</v>
      </c>
      <c r="C17" s="32" t="s">
        <v>287</v>
      </c>
      <c r="D17" s="35">
        <v>0</v>
      </c>
      <c r="F17" s="27">
        <f>ROUND(ЗАГОТСКЛАДРАСХОД(Определители!B9:B12,Определители!H9:H12,Определители!I9:I12,'Базовые цены с учетом расхода'!B9:B12,Начисления!X9:X12,Начисления!Y9:Y12,Начисления!Z9:Z12,Начисления!AA9:AA12,Начисления!AB9:AB12,Начисления!AC9:AC12,Начисления!AF9:AF12),2)</f>
        <v>0</v>
      </c>
      <c r="G17" s="27"/>
      <c r="H17" s="27"/>
      <c r="I17" s="27"/>
      <c r="J17" s="31"/>
      <c r="K17" s="31"/>
      <c r="L17" s="27"/>
    </row>
    <row r="18" spans="1:12" ht="10.5">
      <c r="A18" s="28">
        <v>9</v>
      </c>
      <c r="B18" s="7" t="s">
        <v>78</v>
      </c>
      <c r="C18" s="32" t="s">
        <v>287</v>
      </c>
      <c r="D18" s="35">
        <v>0</v>
      </c>
      <c r="F18" s="27">
        <f>ROUND(СУММПРОИЗВЕСЛИ(1,Определители!I9:I12," ",'Базовые цены с учетом расхода'!M9:M12,Начисления!I9:I12,0),2)</f>
        <v>0</v>
      </c>
      <c r="G18" s="27"/>
      <c r="H18" s="27"/>
      <c r="I18" s="27"/>
      <c r="J18" s="31"/>
      <c r="K18" s="31"/>
      <c r="L18" s="27"/>
    </row>
    <row r="19" spans="1:12" ht="10.5">
      <c r="A19" s="28">
        <v>10</v>
      </c>
      <c r="B19" s="7" t="s">
        <v>79</v>
      </c>
      <c r="C19" s="32" t="s">
        <v>288</v>
      </c>
      <c r="D19" s="35">
        <v>0</v>
      </c>
      <c r="F19" s="27">
        <f>ROUND((F18+F29+F49),2)</f>
        <v>0</v>
      </c>
      <c r="G19" s="27"/>
      <c r="H19" s="27"/>
      <c r="I19" s="27"/>
      <c r="J19" s="31"/>
      <c r="K19" s="31"/>
      <c r="L19" s="27"/>
    </row>
    <row r="20" spans="1:12" ht="10.5">
      <c r="A20" s="28">
        <v>11</v>
      </c>
      <c r="B20" s="7" t="s">
        <v>80</v>
      </c>
      <c r="C20" s="32" t="s">
        <v>288</v>
      </c>
      <c r="D20" s="35">
        <v>0</v>
      </c>
      <c r="F20" s="27">
        <f>ROUND((F11+F12+F13+F14+F15+F16+F17+F19),2)</f>
        <v>0</v>
      </c>
      <c r="G20" s="27"/>
      <c r="H20" s="27"/>
      <c r="I20" s="27"/>
      <c r="J20" s="31"/>
      <c r="K20" s="31"/>
      <c r="L20" s="27"/>
    </row>
    <row r="21" spans="1:12" ht="10.5">
      <c r="A21" s="28">
        <v>12</v>
      </c>
      <c r="B21" s="7" t="s">
        <v>81</v>
      </c>
      <c r="C21" s="32" t="s">
        <v>287</v>
      </c>
      <c r="D21" s="35">
        <v>0</v>
      </c>
      <c r="F21" s="27">
        <f>ROUND(SUMIF(Определители!I9:I12,"=1",'Базовые цены с учетом расхода'!B9:B12),2)</f>
        <v>0</v>
      </c>
      <c r="G21" s="27">
        <f>ROUND(SUMIF(Определители!I9:I12,"=1",'Базовые цены с учетом расхода'!C9:C12),2)</f>
        <v>0</v>
      </c>
      <c r="H21" s="27">
        <f>ROUND(SUMIF(Определители!I9:I12,"=1",'Базовые цены с учетом расхода'!D9:D12),2)</f>
        <v>0</v>
      </c>
      <c r="I21" s="27">
        <f>ROUND(SUMIF(Определители!I9:I12,"=1",'Базовые цены с учетом расхода'!E9:E12),2)</f>
        <v>0</v>
      </c>
      <c r="J21" s="31">
        <f>ROUND(SUMIF(Определители!I9:I12,"=1",'Базовые цены с учетом расхода'!I9:I12),8)</f>
        <v>0</v>
      </c>
      <c r="K21" s="31">
        <f>ROUND(SUMIF(Определители!I9:I12,"=1",'Базовые цены с учетом расхода'!K9:K12),8)</f>
        <v>0</v>
      </c>
      <c r="L21" s="27">
        <f>ROUND(SUMIF(Определители!I9:I12,"=1",'Базовые цены с учетом расхода'!F9:F12),2)</f>
        <v>0</v>
      </c>
    </row>
    <row r="22" spans="1:12" ht="10.5">
      <c r="A22" s="28">
        <v>13</v>
      </c>
      <c r="B22" s="7" t="s">
        <v>82</v>
      </c>
      <c r="C22" s="32" t="s">
        <v>287</v>
      </c>
      <c r="D22" s="35">
        <v>0</v>
      </c>
      <c r="F22" s="27"/>
      <c r="G22" s="27"/>
      <c r="H22" s="27"/>
      <c r="I22" s="27"/>
      <c r="J22" s="31"/>
      <c r="K22" s="31"/>
      <c r="L22" s="27"/>
    </row>
    <row r="23" spans="1:12" ht="10.5">
      <c r="A23" s="28">
        <v>14</v>
      </c>
      <c r="B23" s="7" t="s">
        <v>83</v>
      </c>
      <c r="C23" s="32" t="s">
        <v>287</v>
      </c>
      <c r="D23" s="35">
        <v>0</v>
      </c>
      <c r="F23" s="27"/>
      <c r="G23" s="27">
        <f>ROUND(SUMIF(Определители!I9:I12,"=1",'Базовые цены с учетом расхода'!T9:T12),2)</f>
        <v>0</v>
      </c>
      <c r="H23" s="27"/>
      <c r="I23" s="27"/>
      <c r="J23" s="31"/>
      <c r="K23" s="31"/>
      <c r="L23" s="27"/>
    </row>
    <row r="24" spans="1:12" ht="10.5">
      <c r="A24" s="28">
        <v>15</v>
      </c>
      <c r="B24" s="7" t="s">
        <v>84</v>
      </c>
      <c r="C24" s="32" t="s">
        <v>287</v>
      </c>
      <c r="D24" s="35">
        <v>0</v>
      </c>
      <c r="F24" s="27">
        <f>ROUND(SUMIF(Определители!I9:I12,"=1",'Базовые цены с учетом расхода'!U9:U12),2)</f>
        <v>0</v>
      </c>
      <c r="G24" s="27"/>
      <c r="H24" s="27"/>
      <c r="I24" s="27"/>
      <c r="J24" s="31"/>
      <c r="K24" s="31"/>
      <c r="L24" s="27"/>
    </row>
    <row r="25" spans="1:12" ht="10.5">
      <c r="A25" s="28">
        <v>16</v>
      </c>
      <c r="B25" s="7" t="s">
        <v>85</v>
      </c>
      <c r="C25" s="32" t="s">
        <v>287</v>
      </c>
      <c r="D25" s="35">
        <v>0</v>
      </c>
      <c r="F25" s="27">
        <f>ROUND(СУММЕСЛИ2(Определители!I9:I12,"1",Определители!G9:G12,"1",'Базовые цены с учетом расхода'!B9:B12),2)</f>
        <v>0</v>
      </c>
      <c r="G25" s="27"/>
      <c r="H25" s="27"/>
      <c r="I25" s="27"/>
      <c r="J25" s="31"/>
      <c r="K25" s="31"/>
      <c r="L25" s="27"/>
    </row>
    <row r="26" spans="1:12" ht="10.5">
      <c r="A26" s="28">
        <v>17</v>
      </c>
      <c r="B26" s="7" t="s">
        <v>86</v>
      </c>
      <c r="C26" s="32" t="s">
        <v>287</v>
      </c>
      <c r="D26" s="35">
        <v>0</v>
      </c>
      <c r="F26" s="27">
        <f>ROUND(SUMIF(Определители!I9:I12,"=1",'Базовые цены с учетом расхода'!H9:H12),2)</f>
        <v>0</v>
      </c>
      <c r="G26" s="27"/>
      <c r="H26" s="27"/>
      <c r="I26" s="27"/>
      <c r="J26" s="31"/>
      <c r="K26" s="31"/>
      <c r="L26" s="27"/>
    </row>
    <row r="27" spans="1:12" ht="10.5">
      <c r="A27" s="28">
        <v>18</v>
      </c>
      <c r="B27" s="7" t="s">
        <v>87</v>
      </c>
      <c r="C27" s="32" t="s">
        <v>287</v>
      </c>
      <c r="D27" s="35">
        <v>0</v>
      </c>
      <c r="F27" s="27">
        <f>ROUND(SUMIF(Определители!I9:I12,"=1",'Базовые цены с учетом расхода'!N9:N12),2)</f>
        <v>0</v>
      </c>
      <c r="G27" s="27"/>
      <c r="H27" s="27"/>
      <c r="I27" s="27"/>
      <c r="J27" s="31"/>
      <c r="K27" s="31"/>
      <c r="L27" s="27"/>
    </row>
    <row r="28" spans="1:12" ht="10.5">
      <c r="A28" s="28">
        <v>19</v>
      </c>
      <c r="B28" s="7" t="s">
        <v>88</v>
      </c>
      <c r="C28" s="32" t="s">
        <v>287</v>
      </c>
      <c r="D28" s="35">
        <v>0</v>
      </c>
      <c r="F28" s="27">
        <f>ROUND(SUMIF(Определители!I9:I12,"=1",'Базовые цены с учетом расхода'!O9:O12),2)</f>
        <v>0</v>
      </c>
      <c r="G28" s="27"/>
      <c r="H28" s="27"/>
      <c r="I28" s="27"/>
      <c r="J28" s="31"/>
      <c r="K28" s="31"/>
      <c r="L28" s="27"/>
    </row>
    <row r="29" spans="1:12" ht="10.5">
      <c r="A29" s="28">
        <v>20</v>
      </c>
      <c r="B29" s="7" t="s">
        <v>79</v>
      </c>
      <c r="C29" s="32" t="s">
        <v>287</v>
      </c>
      <c r="D29" s="35">
        <v>0</v>
      </c>
      <c r="F29" s="27">
        <f>ROUND(СУММПРОИЗВЕСЛИ(1,Определители!I9:I12," ",'Базовые цены с учетом расхода'!M9:M12,Начисления!I9:I12,0),2)</f>
        <v>0</v>
      </c>
      <c r="G29" s="27"/>
      <c r="H29" s="27"/>
      <c r="I29" s="27"/>
      <c r="J29" s="31"/>
      <c r="K29" s="31"/>
      <c r="L29" s="27"/>
    </row>
    <row r="30" spans="1:12" ht="10.5">
      <c r="A30" s="28">
        <v>21</v>
      </c>
      <c r="B30" s="7" t="s">
        <v>89</v>
      </c>
      <c r="C30" s="32" t="s">
        <v>288</v>
      </c>
      <c r="D30" s="35">
        <v>0</v>
      </c>
      <c r="F30" s="27">
        <f>ROUND((F21+F27+F28),2)</f>
        <v>0</v>
      </c>
      <c r="G30" s="27"/>
      <c r="H30" s="27"/>
      <c r="I30" s="27"/>
      <c r="J30" s="31"/>
      <c r="K30" s="31"/>
      <c r="L30" s="27"/>
    </row>
    <row r="31" spans="1:12" ht="10.5">
      <c r="A31" s="28">
        <v>22</v>
      </c>
      <c r="B31" s="7" t="s">
        <v>90</v>
      </c>
      <c r="C31" s="32" t="s">
        <v>287</v>
      </c>
      <c r="D31" s="35">
        <v>0</v>
      </c>
      <c r="F31" s="27">
        <f>ROUND(SUMIF(Определители!I9:I12,"=2",'Базовые цены с учетом расхода'!B9:B12),2)</f>
        <v>143.3</v>
      </c>
      <c r="G31" s="27">
        <f>ROUND(SUMIF(Определители!I9:I12,"=2",'Базовые цены с учетом расхода'!C9:C12),2)</f>
        <v>141.27</v>
      </c>
      <c r="H31" s="27">
        <f>ROUND(SUMIF(Определители!I9:I12,"=2",'Базовые цены с учетом расхода'!D9:D12),2)</f>
        <v>2.03</v>
      </c>
      <c r="I31" s="27">
        <f>ROUND(SUMIF(Определители!I9:I12,"=2",'Базовые цены с учетом расхода'!E9:E12),2)</f>
        <v>0.88</v>
      </c>
      <c r="J31" s="31">
        <f>ROUND(SUMIF(Определители!I9:I12,"=2",'Базовые цены с учетом расхода'!I9:I12),8)</f>
        <v>18.111</v>
      </c>
      <c r="K31" s="31">
        <f>ROUND(SUMIF(Определители!I9:I12,"=2",'Базовые цены с учетом расхода'!K9:K12),8)</f>
        <v>0.065</v>
      </c>
      <c r="L31" s="27">
        <f>ROUND(SUMIF(Определители!I9:I12,"=2",'Базовые цены с учетом расхода'!F9:F12),2)</f>
        <v>0</v>
      </c>
    </row>
    <row r="32" spans="1:12" ht="10.5">
      <c r="A32" s="28">
        <v>23</v>
      </c>
      <c r="B32" s="7" t="s">
        <v>82</v>
      </c>
      <c r="C32" s="32" t="s">
        <v>287</v>
      </c>
      <c r="D32" s="35">
        <v>0</v>
      </c>
      <c r="F32" s="27"/>
      <c r="G32" s="27"/>
      <c r="H32" s="27"/>
      <c r="I32" s="27"/>
      <c r="J32" s="31"/>
      <c r="K32" s="31"/>
      <c r="L32" s="27"/>
    </row>
    <row r="33" spans="1:12" ht="10.5">
      <c r="A33" s="28">
        <v>24</v>
      </c>
      <c r="B33" s="7" t="s">
        <v>91</v>
      </c>
      <c r="C33" s="32" t="s">
        <v>287</v>
      </c>
      <c r="D33" s="35">
        <v>0</v>
      </c>
      <c r="F33" s="27">
        <f>ROUND(СУММЕСЛИ2(Определители!I9:I12,"2",Определители!G9:G12,"1",'Базовые цены с учетом расхода'!B9:B12),2)</f>
        <v>0</v>
      </c>
      <c r="G33" s="27"/>
      <c r="H33" s="27"/>
      <c r="I33" s="27"/>
      <c r="J33" s="31"/>
      <c r="K33" s="31"/>
      <c r="L33" s="27"/>
    </row>
    <row r="34" spans="1:12" ht="10.5">
      <c r="A34" s="28">
        <v>25</v>
      </c>
      <c r="B34" s="7" t="s">
        <v>86</v>
      </c>
      <c r="C34" s="32" t="s">
        <v>287</v>
      </c>
      <c r="D34" s="35">
        <v>0</v>
      </c>
      <c r="F34" s="27">
        <f>ROUND(SUMIF(Определители!I9:I12,"=2",'Базовые цены с учетом расхода'!H9:H12),2)</f>
        <v>0</v>
      </c>
      <c r="G34" s="27"/>
      <c r="H34" s="27"/>
      <c r="I34" s="27"/>
      <c r="J34" s="31"/>
      <c r="K34" s="31"/>
      <c r="L34" s="27"/>
    </row>
    <row r="35" spans="1:12" ht="10.5">
      <c r="A35" s="28">
        <v>26</v>
      </c>
      <c r="B35" s="7" t="s">
        <v>87</v>
      </c>
      <c r="C35" s="32" t="s">
        <v>287</v>
      </c>
      <c r="D35" s="35">
        <v>0</v>
      </c>
      <c r="F35" s="27">
        <f>ROUND(SUMIF(Определители!I9:I12,"=2",'Базовые цены с учетом расхода'!N9:N12),2)</f>
        <v>113.73</v>
      </c>
      <c r="G35" s="27"/>
      <c r="H35" s="27"/>
      <c r="I35" s="27"/>
      <c r="J35" s="31"/>
      <c r="K35" s="31"/>
      <c r="L35" s="27"/>
    </row>
    <row r="36" spans="1:12" ht="10.5">
      <c r="A36" s="28">
        <v>27</v>
      </c>
      <c r="B36" s="7" t="s">
        <v>88</v>
      </c>
      <c r="C36" s="32" t="s">
        <v>287</v>
      </c>
      <c r="D36" s="35">
        <v>0</v>
      </c>
      <c r="F36" s="27">
        <f>ROUND(SUMIF(Определители!I9:I12,"=2",'Базовые цены с учетом расхода'!O9:O12),2)</f>
        <v>96.66</v>
      </c>
      <c r="G36" s="27"/>
      <c r="H36" s="27"/>
      <c r="I36" s="27"/>
      <c r="J36" s="31"/>
      <c r="K36" s="31"/>
      <c r="L36" s="27"/>
    </row>
    <row r="37" spans="1:12" ht="10.5">
      <c r="A37" s="28">
        <v>28</v>
      </c>
      <c r="B37" s="7" t="s">
        <v>92</v>
      </c>
      <c r="C37" s="32" t="s">
        <v>288</v>
      </c>
      <c r="D37" s="35">
        <v>0</v>
      </c>
      <c r="F37" s="27">
        <f>ROUND((F31+F35+F36),2)</f>
        <v>353.69</v>
      </c>
      <c r="G37" s="27"/>
      <c r="H37" s="27"/>
      <c r="I37" s="27"/>
      <c r="J37" s="31"/>
      <c r="K37" s="31"/>
      <c r="L37" s="27"/>
    </row>
    <row r="38" spans="1:12" ht="10.5">
      <c r="A38" s="28">
        <v>29</v>
      </c>
      <c r="B38" s="7" t="s">
        <v>93</v>
      </c>
      <c r="C38" s="32" t="s">
        <v>287</v>
      </c>
      <c r="D38" s="35">
        <v>0</v>
      </c>
      <c r="F38" s="27">
        <f>ROUND(SUMIF(Определители!I9:I12,"=3",'Базовые цены с учетом расхода'!B9:B12),2)</f>
        <v>0</v>
      </c>
      <c r="G38" s="27">
        <f>ROUND(SUMIF(Определители!I9:I12,"=3",'Базовые цены с учетом расхода'!C9:C12),2)</f>
        <v>0</v>
      </c>
      <c r="H38" s="27">
        <f>ROUND(SUMIF(Определители!I9:I12,"=3",'Базовые цены с учетом расхода'!D9:D12),2)</f>
        <v>0</v>
      </c>
      <c r="I38" s="27">
        <f>ROUND(SUMIF(Определители!I9:I12,"=3",'Базовые цены с учетом расхода'!E9:E12),2)</f>
        <v>0</v>
      </c>
      <c r="J38" s="31">
        <f>ROUND(SUMIF(Определители!I9:I12,"=3",'Базовые цены с учетом расхода'!I9:I12),8)</f>
        <v>0</v>
      </c>
      <c r="K38" s="31">
        <f>ROUND(SUMIF(Определители!I9:I12,"=3",'Базовые цены с учетом расхода'!K9:K12),8)</f>
        <v>0</v>
      </c>
      <c r="L38" s="27">
        <f>ROUND(SUMIF(Определители!I9:I12,"=3",'Базовые цены с учетом расхода'!F9:F12),2)</f>
        <v>0</v>
      </c>
    </row>
    <row r="39" spans="1:12" ht="10.5">
      <c r="A39" s="28">
        <v>30</v>
      </c>
      <c r="B39" s="7" t="s">
        <v>86</v>
      </c>
      <c r="C39" s="32" t="s">
        <v>287</v>
      </c>
      <c r="D39" s="35">
        <v>0</v>
      </c>
      <c r="F39" s="27">
        <f>ROUND(SUMIF(Определители!I9:I12,"=3",'Базовые цены с учетом расхода'!H9:H12),2)</f>
        <v>0</v>
      </c>
      <c r="G39" s="27"/>
      <c r="H39" s="27"/>
      <c r="I39" s="27"/>
      <c r="J39" s="31"/>
      <c r="K39" s="31"/>
      <c r="L39" s="27"/>
    </row>
    <row r="40" spans="1:12" ht="10.5">
      <c r="A40" s="28">
        <v>31</v>
      </c>
      <c r="B40" s="7" t="s">
        <v>87</v>
      </c>
      <c r="C40" s="32" t="s">
        <v>287</v>
      </c>
      <c r="D40" s="35">
        <v>0</v>
      </c>
      <c r="F40" s="27">
        <f>ROUND(SUMIF(Определители!I9:I12,"=3",'Базовые цены с учетом расхода'!N9:N12),2)</f>
        <v>0</v>
      </c>
      <c r="G40" s="27"/>
      <c r="H40" s="27"/>
      <c r="I40" s="27"/>
      <c r="J40" s="31"/>
      <c r="K40" s="31"/>
      <c r="L40" s="27"/>
    </row>
    <row r="41" spans="1:12" ht="10.5">
      <c r="A41" s="28">
        <v>32</v>
      </c>
      <c r="B41" s="7" t="s">
        <v>88</v>
      </c>
      <c r="C41" s="32" t="s">
        <v>287</v>
      </c>
      <c r="D41" s="35">
        <v>0</v>
      </c>
      <c r="F41" s="27">
        <f>ROUND(SUMIF(Определители!I9:I12,"=3",'Базовые цены с учетом расхода'!O9:O12),2)</f>
        <v>0</v>
      </c>
      <c r="G41" s="27"/>
      <c r="H41" s="27"/>
      <c r="I41" s="27"/>
      <c r="J41" s="31"/>
      <c r="K41" s="31"/>
      <c r="L41" s="27"/>
    </row>
    <row r="42" spans="1:12" ht="10.5">
      <c r="A42" s="28">
        <v>33</v>
      </c>
      <c r="B42" s="7" t="s">
        <v>94</v>
      </c>
      <c r="C42" s="32" t="s">
        <v>288</v>
      </c>
      <c r="D42" s="35">
        <v>0</v>
      </c>
      <c r="F42" s="27">
        <f>ROUND((F38+F40+F41),2)</f>
        <v>0</v>
      </c>
      <c r="G42" s="27"/>
      <c r="H42" s="27"/>
      <c r="I42" s="27"/>
      <c r="J42" s="31"/>
      <c r="K42" s="31"/>
      <c r="L42" s="27"/>
    </row>
    <row r="43" spans="1:12" ht="10.5">
      <c r="A43" s="28">
        <v>34</v>
      </c>
      <c r="B43" s="7" t="s">
        <v>95</v>
      </c>
      <c r="C43" s="32" t="s">
        <v>287</v>
      </c>
      <c r="D43" s="35">
        <v>0</v>
      </c>
      <c r="F43" s="27">
        <f>ROUND(SUMIF(Определители!I9:I12,"=4",'Базовые цены с учетом расхода'!B9:B12),2)</f>
        <v>0</v>
      </c>
      <c r="G43" s="27">
        <f>ROUND(SUMIF(Определители!I9:I12,"=4",'Базовые цены с учетом расхода'!C9:C12),2)</f>
        <v>0</v>
      </c>
      <c r="H43" s="27">
        <f>ROUND(SUMIF(Определители!I9:I12,"=4",'Базовые цены с учетом расхода'!D9:D12),2)</f>
        <v>0</v>
      </c>
      <c r="I43" s="27">
        <f>ROUND(SUMIF(Определители!I9:I12,"=4",'Базовые цены с учетом расхода'!E9:E12),2)</f>
        <v>0</v>
      </c>
      <c r="J43" s="31">
        <f>ROUND(SUMIF(Определители!I9:I12,"=4",'Базовые цены с учетом расхода'!I9:I12),8)</f>
        <v>0</v>
      </c>
      <c r="K43" s="31">
        <f>ROUND(SUMIF(Определители!I9:I12,"=4",'Базовые цены с учетом расхода'!K9:K12),8)</f>
        <v>0</v>
      </c>
      <c r="L43" s="27">
        <f>ROUND(SUMIF(Определители!I9:I12,"=4",'Базовые цены с учетом расхода'!F9:F12),2)</f>
        <v>0</v>
      </c>
    </row>
    <row r="44" spans="1:12" ht="10.5">
      <c r="A44" s="28">
        <v>35</v>
      </c>
      <c r="B44" s="7" t="s">
        <v>82</v>
      </c>
      <c r="C44" s="32" t="s">
        <v>287</v>
      </c>
      <c r="D44" s="35">
        <v>0</v>
      </c>
      <c r="F44" s="27"/>
      <c r="G44" s="27"/>
      <c r="H44" s="27"/>
      <c r="I44" s="27"/>
      <c r="J44" s="31"/>
      <c r="K44" s="31"/>
      <c r="L44" s="27"/>
    </row>
    <row r="45" spans="1:12" ht="10.5">
      <c r="A45" s="28">
        <v>36</v>
      </c>
      <c r="B45" s="7" t="s">
        <v>96</v>
      </c>
      <c r="C45" s="32" t="s">
        <v>287</v>
      </c>
      <c r="D45" s="35">
        <v>0</v>
      </c>
      <c r="F45" s="27">
        <f>ROUND(SUMIF(Определители!I9:I12,"=4",'Базовые цены с учетом расхода'!AJ9:AJ12),2)</f>
        <v>0</v>
      </c>
      <c r="G45" s="27">
        <f>ROUND(SUMIF(Определители!I9:I12,"=4",'Базовые цены с учетом расхода'!AI9:AI12),2)</f>
        <v>0</v>
      </c>
      <c r="H45" s="27">
        <f>ROUND(SUMIF(Определители!I9:I12,"=4",'Базовые цены с учетом расхода'!AH9:AH12),2)</f>
        <v>0</v>
      </c>
      <c r="I45" s="27">
        <f>ROUND(SUMIF(Определители!I9:I12,"=4",'Базовые цены с учетом расхода'!V9:V12),2)</f>
        <v>0</v>
      </c>
      <c r="J45" s="31"/>
      <c r="K45" s="31"/>
      <c r="L45" s="27"/>
    </row>
    <row r="46" spans="1:12" ht="10.5">
      <c r="A46" s="28">
        <v>37</v>
      </c>
      <c r="B46" s="7" t="s">
        <v>86</v>
      </c>
      <c r="C46" s="32" t="s">
        <v>287</v>
      </c>
      <c r="D46" s="35">
        <v>0</v>
      </c>
      <c r="F46" s="27">
        <f>ROUND(SUMIF(Определители!I9:I12,"=4",'Базовые цены с учетом расхода'!H9:H12),2)</f>
        <v>0</v>
      </c>
      <c r="G46" s="27"/>
      <c r="H46" s="27"/>
      <c r="I46" s="27"/>
      <c r="J46" s="31"/>
      <c r="K46" s="31"/>
      <c r="L46" s="27"/>
    </row>
    <row r="47" spans="1:12" ht="10.5">
      <c r="A47" s="28">
        <v>38</v>
      </c>
      <c r="B47" s="7" t="s">
        <v>87</v>
      </c>
      <c r="C47" s="32" t="s">
        <v>287</v>
      </c>
      <c r="D47" s="35">
        <v>0</v>
      </c>
      <c r="F47" s="27">
        <f>ROUND(SUMIF(Определители!I9:I12,"=4",'Базовые цены с учетом расхода'!N9:N12),2)</f>
        <v>0</v>
      </c>
      <c r="G47" s="27"/>
      <c r="H47" s="27"/>
      <c r="I47" s="27"/>
      <c r="J47" s="31"/>
      <c r="K47" s="31"/>
      <c r="L47" s="27"/>
    </row>
    <row r="48" spans="1:12" ht="10.5">
      <c r="A48" s="28">
        <v>39</v>
      </c>
      <c r="B48" s="7" t="s">
        <v>88</v>
      </c>
      <c r="C48" s="32" t="s">
        <v>287</v>
      </c>
      <c r="D48" s="35">
        <v>0</v>
      </c>
      <c r="F48" s="27">
        <f>ROUND(SUMIF(Определители!I9:I12,"=4",'Базовые цены с учетом расхода'!O9:O12),2)</f>
        <v>0</v>
      </c>
      <c r="G48" s="27"/>
      <c r="H48" s="27"/>
      <c r="I48" s="27"/>
      <c r="J48" s="31"/>
      <c r="K48" s="31"/>
      <c r="L48" s="27"/>
    </row>
    <row r="49" spans="1:12" ht="10.5">
      <c r="A49" s="28">
        <v>40</v>
      </c>
      <c r="B49" s="7" t="s">
        <v>79</v>
      </c>
      <c r="C49" s="32" t="s">
        <v>287</v>
      </c>
      <c r="D49" s="35">
        <v>0</v>
      </c>
      <c r="F49" s="27">
        <f>ROUND(СУММПРОИЗВЕСЛИ(1,Определители!I9:I12," ",'Базовые цены с учетом расхода'!M9:M12,Начисления!I9:I12,0),2)</f>
        <v>0</v>
      </c>
      <c r="G49" s="27"/>
      <c r="H49" s="27"/>
      <c r="I49" s="27"/>
      <c r="J49" s="31"/>
      <c r="K49" s="31"/>
      <c r="L49" s="27"/>
    </row>
    <row r="50" spans="1:12" ht="10.5">
      <c r="A50" s="28">
        <v>41</v>
      </c>
      <c r="B50" s="7" t="s">
        <v>97</v>
      </c>
      <c r="C50" s="32" t="s">
        <v>288</v>
      </c>
      <c r="D50" s="35">
        <v>0</v>
      </c>
      <c r="F50" s="27">
        <f>ROUND((F43+F47+F48),2)</f>
        <v>0</v>
      </c>
      <c r="G50" s="27"/>
      <c r="H50" s="27"/>
      <c r="I50" s="27"/>
      <c r="J50" s="31"/>
      <c r="K50" s="31"/>
      <c r="L50" s="27"/>
    </row>
    <row r="51" spans="1:12" ht="10.5">
      <c r="A51" s="28">
        <v>42</v>
      </c>
      <c r="B51" s="7" t="s">
        <v>98</v>
      </c>
      <c r="C51" s="32" t="s">
        <v>287</v>
      </c>
      <c r="D51" s="35">
        <v>0</v>
      </c>
      <c r="F51" s="27">
        <f>ROUND(SUMIF(Определители!I9:I12,"=5",'Базовые цены с учетом расхода'!B9:B12),2)</f>
        <v>0</v>
      </c>
      <c r="G51" s="27">
        <f>ROUND(SUMIF(Определители!I9:I12,"=5",'Базовые цены с учетом расхода'!C9:C12),2)</f>
        <v>0</v>
      </c>
      <c r="H51" s="27">
        <f>ROUND(SUMIF(Определители!I9:I12,"=5",'Базовые цены с учетом расхода'!D9:D12),2)</f>
        <v>0</v>
      </c>
      <c r="I51" s="27">
        <f>ROUND(SUMIF(Определители!I9:I12,"=5",'Базовые цены с учетом расхода'!E9:E12),2)</f>
        <v>0</v>
      </c>
      <c r="J51" s="31">
        <f>ROUND(SUMIF(Определители!I9:I12,"=5",'Базовые цены с учетом расхода'!I9:I12),8)</f>
        <v>0</v>
      </c>
      <c r="K51" s="31">
        <f>ROUND(SUMIF(Определители!I9:I12,"=5",'Базовые цены с учетом расхода'!K9:K12),8)</f>
        <v>0</v>
      </c>
      <c r="L51" s="27">
        <f>ROUND(SUMIF(Определители!I9:I12,"=5",'Базовые цены с учетом расхода'!F9:F12),2)</f>
        <v>0</v>
      </c>
    </row>
    <row r="52" spans="1:12" ht="10.5">
      <c r="A52" s="28">
        <v>43</v>
      </c>
      <c r="B52" s="7" t="s">
        <v>86</v>
      </c>
      <c r="C52" s="32" t="s">
        <v>287</v>
      </c>
      <c r="D52" s="35">
        <v>0</v>
      </c>
      <c r="F52" s="27">
        <f>ROUND(SUMIF(Определители!I9:I12,"=5",'Базовые цены с учетом расхода'!H9:H12),2)</f>
        <v>0</v>
      </c>
      <c r="G52" s="27"/>
      <c r="H52" s="27"/>
      <c r="I52" s="27"/>
      <c r="J52" s="31"/>
      <c r="K52" s="31"/>
      <c r="L52" s="27"/>
    </row>
    <row r="53" spans="1:12" ht="10.5">
      <c r="A53" s="28">
        <v>44</v>
      </c>
      <c r="B53" s="7" t="s">
        <v>87</v>
      </c>
      <c r="C53" s="32" t="s">
        <v>287</v>
      </c>
      <c r="D53" s="35">
        <v>0</v>
      </c>
      <c r="F53" s="27">
        <f>ROUND(SUMIF(Определители!I9:I12,"=5",'Базовые цены с учетом расхода'!N9:N12),2)</f>
        <v>0</v>
      </c>
      <c r="G53" s="27"/>
      <c r="H53" s="27"/>
      <c r="I53" s="27"/>
      <c r="J53" s="31"/>
      <c r="K53" s="31"/>
      <c r="L53" s="27"/>
    </row>
    <row r="54" spans="1:12" ht="10.5">
      <c r="A54" s="28">
        <v>45</v>
      </c>
      <c r="B54" s="7" t="s">
        <v>88</v>
      </c>
      <c r="C54" s="32" t="s">
        <v>287</v>
      </c>
      <c r="D54" s="35">
        <v>0</v>
      </c>
      <c r="F54" s="27">
        <f>ROUND(SUMIF(Определители!I9:I12,"=5",'Базовые цены с учетом расхода'!O9:O12),2)</f>
        <v>0</v>
      </c>
      <c r="G54" s="27"/>
      <c r="H54" s="27"/>
      <c r="I54" s="27"/>
      <c r="J54" s="31"/>
      <c r="K54" s="31"/>
      <c r="L54" s="27"/>
    </row>
    <row r="55" spans="1:12" ht="10.5">
      <c r="A55" s="28">
        <v>46</v>
      </c>
      <c r="B55" s="7" t="s">
        <v>99</v>
      </c>
      <c r="C55" s="32" t="s">
        <v>288</v>
      </c>
      <c r="D55" s="35">
        <v>0</v>
      </c>
      <c r="F55" s="27">
        <f>ROUND((F51+F53+F54),2)</f>
        <v>0</v>
      </c>
      <c r="G55" s="27"/>
      <c r="H55" s="27"/>
      <c r="I55" s="27"/>
      <c r="J55" s="31"/>
      <c r="K55" s="31"/>
      <c r="L55" s="27"/>
    </row>
    <row r="56" spans="1:12" ht="10.5">
      <c r="A56" s="28">
        <v>47</v>
      </c>
      <c r="B56" s="7" t="s">
        <v>100</v>
      </c>
      <c r="C56" s="32" t="s">
        <v>287</v>
      </c>
      <c r="D56" s="35">
        <v>0</v>
      </c>
      <c r="F56" s="27">
        <f>ROUND(SUMIF(Определители!I9:I12,"=6",'Базовые цены с учетом расхода'!B9:B12),2)</f>
        <v>0</v>
      </c>
      <c r="G56" s="27">
        <f>ROUND(SUMIF(Определители!I9:I12,"=6",'Базовые цены с учетом расхода'!C9:C12),2)</f>
        <v>0</v>
      </c>
      <c r="H56" s="27">
        <f>ROUND(SUMIF(Определители!I9:I12,"=6",'Базовые цены с учетом расхода'!D9:D12),2)</f>
        <v>0</v>
      </c>
      <c r="I56" s="27">
        <f>ROUND(SUMIF(Определители!I9:I12,"=6",'Базовые цены с учетом расхода'!E9:E12),2)</f>
        <v>0</v>
      </c>
      <c r="J56" s="31">
        <f>ROUND(SUMIF(Определители!I9:I12,"=6",'Базовые цены с учетом расхода'!I9:I12),8)</f>
        <v>0</v>
      </c>
      <c r="K56" s="31">
        <f>ROUND(SUMIF(Определители!I9:I12,"=6",'Базовые цены с учетом расхода'!K9:K12),8)</f>
        <v>0</v>
      </c>
      <c r="L56" s="27">
        <f>ROUND(SUMIF(Определители!I9:I12,"=6",'Базовые цены с учетом расхода'!F9:F12),2)</f>
        <v>0</v>
      </c>
    </row>
    <row r="57" spans="1:12" ht="10.5">
      <c r="A57" s="28">
        <v>48</v>
      </c>
      <c r="B57" s="7" t="s">
        <v>86</v>
      </c>
      <c r="C57" s="32" t="s">
        <v>287</v>
      </c>
      <c r="D57" s="35">
        <v>0</v>
      </c>
      <c r="F57" s="27">
        <f>ROUND(SUMIF(Определители!I9:I12,"=6",'Базовые цены с учетом расхода'!H9:H12),2)</f>
        <v>0</v>
      </c>
      <c r="G57" s="27"/>
      <c r="H57" s="27"/>
      <c r="I57" s="27"/>
      <c r="J57" s="31"/>
      <c r="K57" s="31"/>
      <c r="L57" s="27"/>
    </row>
    <row r="58" spans="1:12" ht="10.5">
      <c r="A58" s="28">
        <v>49</v>
      </c>
      <c r="B58" s="7" t="s">
        <v>87</v>
      </c>
      <c r="C58" s="32" t="s">
        <v>287</v>
      </c>
      <c r="D58" s="35">
        <v>0</v>
      </c>
      <c r="F58" s="27">
        <f>ROUND(SUMIF(Определители!I9:I12,"=6",'Базовые цены с учетом расхода'!N9:N12),2)</f>
        <v>0</v>
      </c>
      <c r="G58" s="27"/>
      <c r="H58" s="27"/>
      <c r="I58" s="27"/>
      <c r="J58" s="31"/>
      <c r="K58" s="31"/>
      <c r="L58" s="27"/>
    </row>
    <row r="59" spans="1:12" ht="10.5">
      <c r="A59" s="28">
        <v>50</v>
      </c>
      <c r="B59" s="7" t="s">
        <v>88</v>
      </c>
      <c r="C59" s="32" t="s">
        <v>287</v>
      </c>
      <c r="D59" s="35">
        <v>0</v>
      </c>
      <c r="F59" s="27">
        <f>ROUND(SUMIF(Определители!I9:I12,"=6",'Базовые цены с учетом расхода'!O9:O12),2)</f>
        <v>0</v>
      </c>
      <c r="G59" s="27"/>
      <c r="H59" s="27"/>
      <c r="I59" s="27"/>
      <c r="J59" s="31"/>
      <c r="K59" s="31"/>
      <c r="L59" s="27"/>
    </row>
    <row r="60" spans="1:12" ht="10.5">
      <c r="A60" s="28">
        <v>51</v>
      </c>
      <c r="B60" s="7" t="s">
        <v>101</v>
      </c>
      <c r="C60" s="32" t="s">
        <v>288</v>
      </c>
      <c r="D60" s="35">
        <v>0</v>
      </c>
      <c r="F60" s="27">
        <f>ROUND((F56+F58+F59),2)</f>
        <v>0</v>
      </c>
      <c r="G60" s="27"/>
      <c r="H60" s="27"/>
      <c r="I60" s="27"/>
      <c r="J60" s="31"/>
      <c r="K60" s="31"/>
      <c r="L60" s="27"/>
    </row>
    <row r="61" spans="1:12" ht="10.5">
      <c r="A61" s="28">
        <v>52</v>
      </c>
      <c r="B61" s="7" t="s">
        <v>102</v>
      </c>
      <c r="C61" s="32" t="s">
        <v>287</v>
      </c>
      <c r="D61" s="35">
        <v>0</v>
      </c>
      <c r="F61" s="27">
        <f>ROUND(SUMIF(Определители!I9:I12,"=7",'Базовые цены с учетом расхода'!B9:B12),2)</f>
        <v>0</v>
      </c>
      <c r="G61" s="27">
        <f>ROUND(SUMIF(Определители!I9:I12,"=7",'Базовые цены с учетом расхода'!C9:C12),2)</f>
        <v>0</v>
      </c>
      <c r="H61" s="27">
        <f>ROUND(SUMIF(Определители!I9:I12,"=7",'Базовые цены с учетом расхода'!D9:D12),2)</f>
        <v>0</v>
      </c>
      <c r="I61" s="27">
        <f>ROUND(SUMIF(Определители!I9:I12,"=7",'Базовые цены с учетом расхода'!E9:E12),2)</f>
        <v>0</v>
      </c>
      <c r="J61" s="31">
        <f>ROUND(SUMIF(Определители!I9:I12,"=7",'Базовые цены с учетом расхода'!I9:I12),8)</f>
        <v>0</v>
      </c>
      <c r="K61" s="31">
        <f>ROUND(SUMIF(Определители!I9:I12,"=7",'Базовые цены с учетом расхода'!K9:K12),8)</f>
        <v>0</v>
      </c>
      <c r="L61" s="27">
        <f>ROUND(SUMIF(Определители!I9:I12,"=7",'Базовые цены с учетом расхода'!F9:F12),2)</f>
        <v>0</v>
      </c>
    </row>
    <row r="62" spans="1:12" ht="10.5">
      <c r="A62" s="28">
        <v>53</v>
      </c>
      <c r="B62" s="7" t="s">
        <v>82</v>
      </c>
      <c r="C62" s="32" t="s">
        <v>287</v>
      </c>
      <c r="D62" s="35">
        <v>0</v>
      </c>
      <c r="F62" s="27"/>
      <c r="G62" s="27"/>
      <c r="H62" s="27"/>
      <c r="I62" s="27"/>
      <c r="J62" s="31"/>
      <c r="K62" s="31"/>
      <c r="L62" s="27"/>
    </row>
    <row r="63" spans="1:12" ht="10.5">
      <c r="A63" s="28">
        <v>54</v>
      </c>
      <c r="B63" s="7" t="s">
        <v>91</v>
      </c>
      <c r="C63" s="32" t="s">
        <v>287</v>
      </c>
      <c r="D63" s="35">
        <v>0</v>
      </c>
      <c r="F63" s="27">
        <f>ROUND(СУММЕСЛИ2(Определители!I9:I12,"2",Определители!G9:G12,"1",'Базовые цены с учетом расхода'!B9:B12),2)</f>
        <v>0</v>
      </c>
      <c r="G63" s="27"/>
      <c r="H63" s="27"/>
      <c r="I63" s="27"/>
      <c r="J63" s="31"/>
      <c r="K63" s="31"/>
      <c r="L63" s="27"/>
    </row>
    <row r="64" spans="1:12" ht="10.5">
      <c r="A64" s="28">
        <v>55</v>
      </c>
      <c r="B64" s="7" t="s">
        <v>86</v>
      </c>
      <c r="C64" s="32" t="s">
        <v>287</v>
      </c>
      <c r="D64" s="35">
        <v>0</v>
      </c>
      <c r="F64" s="27">
        <f>ROUND(SUMIF(Определители!I9:I12,"=7",'Базовые цены с учетом расхода'!H9:H12),2)</f>
        <v>0</v>
      </c>
      <c r="G64" s="27"/>
      <c r="H64" s="27"/>
      <c r="I64" s="27"/>
      <c r="J64" s="31"/>
      <c r="K64" s="31"/>
      <c r="L64" s="27"/>
    </row>
    <row r="65" spans="1:12" ht="10.5">
      <c r="A65" s="28">
        <v>56</v>
      </c>
      <c r="B65" s="7" t="s">
        <v>87</v>
      </c>
      <c r="C65" s="32" t="s">
        <v>287</v>
      </c>
      <c r="D65" s="35">
        <v>0</v>
      </c>
      <c r="F65" s="27">
        <f>ROUND(SUMIF(Определители!I9:I12,"=7",'Базовые цены с учетом расхода'!N9:N12),2)</f>
        <v>0</v>
      </c>
      <c r="G65" s="27"/>
      <c r="H65" s="27"/>
      <c r="I65" s="27"/>
      <c r="J65" s="31"/>
      <c r="K65" s="31"/>
      <c r="L65" s="27"/>
    </row>
    <row r="66" spans="1:12" ht="10.5">
      <c r="A66" s="28">
        <v>57</v>
      </c>
      <c r="B66" s="7" t="s">
        <v>88</v>
      </c>
      <c r="C66" s="32" t="s">
        <v>287</v>
      </c>
      <c r="D66" s="35">
        <v>0</v>
      </c>
      <c r="F66" s="27">
        <f>ROUND(SUMIF(Определители!I9:I12,"=7",'Базовые цены с учетом расхода'!O9:O12),2)</f>
        <v>0</v>
      </c>
      <c r="G66" s="27"/>
      <c r="H66" s="27"/>
      <c r="I66" s="27"/>
      <c r="J66" s="31"/>
      <c r="K66" s="31"/>
      <c r="L66" s="27"/>
    </row>
    <row r="67" spans="1:12" ht="10.5">
      <c r="A67" s="28">
        <v>58</v>
      </c>
      <c r="B67" s="7" t="s">
        <v>103</v>
      </c>
      <c r="C67" s="32" t="s">
        <v>288</v>
      </c>
      <c r="D67" s="35">
        <v>0</v>
      </c>
      <c r="F67" s="27">
        <f>ROUND((F61+F65+F66),2)</f>
        <v>0</v>
      </c>
      <c r="G67" s="27"/>
      <c r="H67" s="27"/>
      <c r="I67" s="27"/>
      <c r="J67" s="31"/>
      <c r="K67" s="31"/>
      <c r="L67" s="27"/>
    </row>
    <row r="68" spans="1:12" ht="10.5">
      <c r="A68" s="28">
        <v>59</v>
      </c>
      <c r="B68" s="7" t="s">
        <v>104</v>
      </c>
      <c r="C68" s="32" t="s">
        <v>287</v>
      </c>
      <c r="D68" s="35">
        <v>0</v>
      </c>
      <c r="F68" s="27">
        <f>ROUND(SUMIF(Определители!I9:I12,"=;",'Базовые цены с учетом расхода'!B9:B12),2)</f>
        <v>0</v>
      </c>
      <c r="G68" s="27">
        <f>ROUND(SUMIF(Определители!I9:I12,"=;",'Базовые цены с учетом расхода'!C9:C12),2)</f>
        <v>0</v>
      </c>
      <c r="H68" s="27">
        <f>ROUND(SUMIF(Определители!I9:I12,"=;",'Базовые цены с учетом расхода'!D9:D12),2)</f>
        <v>0</v>
      </c>
      <c r="I68" s="27">
        <f>ROUND(SUMIF(Определители!I9:I12,"=;",'Базовые цены с учетом расхода'!E9:E12),2)</f>
        <v>0</v>
      </c>
      <c r="J68" s="31">
        <f>ROUND(SUMIF(Определители!I9:I12,"=;",'Базовые цены с учетом расхода'!I9:I12),8)</f>
        <v>0</v>
      </c>
      <c r="K68" s="31">
        <f>ROUND(SUMIF(Определители!I9:I12,"=;",'Базовые цены с учетом расхода'!K9:K12),8)</f>
        <v>0</v>
      </c>
      <c r="L68" s="27">
        <f>ROUND(SUMIF(Определители!I9:I12,"=;",'Базовые цены с учетом расхода'!F9:F12),2)</f>
        <v>0</v>
      </c>
    </row>
    <row r="69" spans="1:12" ht="10.5">
      <c r="A69" s="28">
        <v>60</v>
      </c>
      <c r="B69" s="7" t="s">
        <v>105</v>
      </c>
      <c r="C69" s="32" t="s">
        <v>287</v>
      </c>
      <c r="D69" s="35">
        <v>0</v>
      </c>
      <c r="F69" s="27">
        <f>ROUND(SUMIF(Определители!I9:I12,"=;",'Базовые цены с учетом расхода'!AF9:AF12),2)</f>
        <v>0</v>
      </c>
      <c r="G69" s="27"/>
      <c r="H69" s="27"/>
      <c r="I69" s="27"/>
      <c r="J69" s="31"/>
      <c r="K69" s="31"/>
      <c r="L69" s="27"/>
    </row>
    <row r="70" spans="1:12" ht="10.5">
      <c r="A70" s="28">
        <v>61</v>
      </c>
      <c r="B70" s="7" t="s">
        <v>106</v>
      </c>
      <c r="C70" s="32" t="s">
        <v>287</v>
      </c>
      <c r="D70" s="35">
        <v>0</v>
      </c>
      <c r="F70" s="27">
        <f>ROUND(SUMIF(Определители!I9:I12,"=;",'Базовые цены с учетом расхода'!AG9:AG12),2)</f>
        <v>0</v>
      </c>
      <c r="G70" s="27"/>
      <c r="H70" s="27"/>
      <c r="I70" s="27"/>
      <c r="J70" s="31"/>
      <c r="K70" s="31"/>
      <c r="L70" s="27"/>
    </row>
    <row r="71" spans="1:12" ht="10.5">
      <c r="A71" s="28">
        <v>62</v>
      </c>
      <c r="B71" s="7" t="s">
        <v>87</v>
      </c>
      <c r="C71" s="32" t="s">
        <v>287</v>
      </c>
      <c r="D71" s="35">
        <v>0</v>
      </c>
      <c r="F71" s="27">
        <f>ROUND(SUMIF(Определители!I9:I12,"=;",'Базовые цены с учетом расхода'!N9:N12),2)</f>
        <v>0</v>
      </c>
      <c r="G71" s="27"/>
      <c r="H71" s="27"/>
      <c r="I71" s="27"/>
      <c r="J71" s="31"/>
      <c r="K71" s="31"/>
      <c r="L71" s="27"/>
    </row>
    <row r="72" spans="1:12" ht="10.5">
      <c r="A72" s="28">
        <v>63</v>
      </c>
      <c r="B72" s="7" t="s">
        <v>88</v>
      </c>
      <c r="C72" s="32" t="s">
        <v>287</v>
      </c>
      <c r="D72" s="35">
        <v>0</v>
      </c>
      <c r="F72" s="27">
        <f>ROUND(SUMIF(Определители!I9:I12,"=;",'Базовые цены с учетом расхода'!O9:O12),2)</f>
        <v>0</v>
      </c>
      <c r="G72" s="27"/>
      <c r="H72" s="27"/>
      <c r="I72" s="27"/>
      <c r="J72" s="31"/>
      <c r="K72" s="31"/>
      <c r="L72" s="27"/>
    </row>
    <row r="73" spans="1:12" ht="10.5">
      <c r="A73" s="28">
        <v>64</v>
      </c>
      <c r="B73" s="7" t="s">
        <v>107</v>
      </c>
      <c r="C73" s="32" t="s">
        <v>288</v>
      </c>
      <c r="D73" s="35">
        <v>0</v>
      </c>
      <c r="F73" s="27">
        <f>ROUND((F68+F71+F72),2)</f>
        <v>0</v>
      </c>
      <c r="G73" s="27"/>
      <c r="H73" s="27"/>
      <c r="I73" s="27"/>
      <c r="J73" s="31"/>
      <c r="K73" s="31"/>
      <c r="L73" s="27"/>
    </row>
    <row r="74" spans="1:12" ht="10.5">
      <c r="A74" s="28">
        <v>65</v>
      </c>
      <c r="B74" s="7" t="s">
        <v>108</v>
      </c>
      <c r="C74" s="32" t="s">
        <v>287</v>
      </c>
      <c r="D74" s="35">
        <v>0</v>
      </c>
      <c r="F74" s="27">
        <f>ROUND(SUMIF(Определители!I9:I12,"=9",'Базовые цены с учетом расхода'!B9:B12),2)</f>
        <v>0</v>
      </c>
      <c r="G74" s="27">
        <f>ROUND(SUMIF(Определители!I9:I12,"=9",'Базовые цены с учетом расхода'!C9:C12),2)</f>
        <v>0</v>
      </c>
      <c r="H74" s="27">
        <f>ROUND(SUMIF(Определители!I9:I12,"=9",'Базовые цены с учетом расхода'!D9:D12),2)</f>
        <v>0</v>
      </c>
      <c r="I74" s="27">
        <f>ROUND(SUMIF(Определители!I9:I12,"=9",'Базовые цены с учетом расхода'!E9:E12),2)</f>
        <v>0</v>
      </c>
      <c r="J74" s="31">
        <f>ROUND(SUMIF(Определители!I9:I12,"=9",'Базовые цены с учетом расхода'!I9:I12),8)</f>
        <v>0</v>
      </c>
      <c r="K74" s="31">
        <f>ROUND(SUMIF(Определители!I9:I12,"=9",'Базовые цены с учетом расхода'!K9:K12),8)</f>
        <v>0</v>
      </c>
      <c r="L74" s="27">
        <f>ROUND(SUMIF(Определители!I9:I12,"=9",'Базовые цены с учетом расхода'!F9:F12),2)</f>
        <v>0</v>
      </c>
    </row>
    <row r="75" spans="1:12" ht="10.5">
      <c r="A75" s="28">
        <v>66</v>
      </c>
      <c r="B75" s="7" t="s">
        <v>87</v>
      </c>
      <c r="C75" s="32" t="s">
        <v>287</v>
      </c>
      <c r="D75" s="35">
        <v>0</v>
      </c>
      <c r="F75" s="27">
        <f>ROUND(SUMIF(Определители!I9:I12,"=9",'Базовые цены с учетом расхода'!N9:N12),2)</f>
        <v>0</v>
      </c>
      <c r="G75" s="27"/>
      <c r="H75" s="27"/>
      <c r="I75" s="27"/>
      <c r="J75" s="31"/>
      <c r="K75" s="31"/>
      <c r="L75" s="27"/>
    </row>
    <row r="76" spans="1:12" ht="10.5">
      <c r="A76" s="28">
        <v>67</v>
      </c>
      <c r="B76" s="7" t="s">
        <v>88</v>
      </c>
      <c r="C76" s="32" t="s">
        <v>287</v>
      </c>
      <c r="D76" s="35">
        <v>0</v>
      </c>
      <c r="F76" s="27">
        <f>ROUND(SUMIF(Определители!I9:I12,"=9",'Базовые цены с учетом расхода'!O9:O12),2)</f>
        <v>0</v>
      </c>
      <c r="G76" s="27"/>
      <c r="H76" s="27"/>
      <c r="I76" s="27"/>
      <c r="J76" s="31"/>
      <c r="K76" s="31"/>
      <c r="L76" s="27"/>
    </row>
    <row r="77" spans="1:12" ht="10.5">
      <c r="A77" s="28">
        <v>68</v>
      </c>
      <c r="B77" s="7" t="s">
        <v>109</v>
      </c>
      <c r="C77" s="32" t="s">
        <v>288</v>
      </c>
      <c r="D77" s="35">
        <v>0</v>
      </c>
      <c r="F77" s="27">
        <f>ROUND((F74+F75+F76),2)</f>
        <v>0</v>
      </c>
      <c r="G77" s="27"/>
      <c r="H77" s="27"/>
      <c r="I77" s="27"/>
      <c r="J77" s="31"/>
      <c r="K77" s="31"/>
      <c r="L77" s="27"/>
    </row>
    <row r="78" spans="1:12" ht="10.5">
      <c r="A78" s="28">
        <v>69</v>
      </c>
      <c r="B78" s="7" t="s">
        <v>110</v>
      </c>
      <c r="C78" s="32" t="s">
        <v>287</v>
      </c>
      <c r="D78" s="35">
        <v>0</v>
      </c>
      <c r="F78" s="27">
        <f>ROUND(SUMIF(Определители!I9:I12,"=:",'Базовые цены с учетом расхода'!B9:B12),2)</f>
        <v>0</v>
      </c>
      <c r="G78" s="27">
        <f>ROUND(SUMIF(Определители!I9:I12,"=:",'Базовые цены с учетом расхода'!C9:C12),2)</f>
        <v>0</v>
      </c>
      <c r="H78" s="27">
        <f>ROUND(SUMIF(Определители!I9:I12,"=:",'Базовые цены с учетом расхода'!D9:D12),2)</f>
        <v>0</v>
      </c>
      <c r="I78" s="27">
        <f>ROUND(SUMIF(Определители!I9:I12,"=:",'Базовые цены с учетом расхода'!E9:E12),2)</f>
        <v>0</v>
      </c>
      <c r="J78" s="31">
        <f>ROUND(SUMIF(Определители!I9:I12,"=:",'Базовые цены с учетом расхода'!I9:I12),8)</f>
        <v>0</v>
      </c>
      <c r="K78" s="31">
        <f>ROUND(SUMIF(Определители!I9:I12,"=:",'Базовые цены с учетом расхода'!K9:K12),8)</f>
        <v>0</v>
      </c>
      <c r="L78" s="27">
        <f>ROUND(SUMIF(Определители!I9:I12,"=:",'Базовые цены с учетом расхода'!F9:F12),2)</f>
        <v>0</v>
      </c>
    </row>
    <row r="79" spans="1:12" ht="10.5">
      <c r="A79" s="28">
        <v>70</v>
      </c>
      <c r="B79" s="7" t="s">
        <v>86</v>
      </c>
      <c r="C79" s="32" t="s">
        <v>287</v>
      </c>
      <c r="D79" s="35">
        <v>0</v>
      </c>
      <c r="F79" s="27">
        <f>ROUND(SUMIF(Определители!I9:I12,"=:",'Базовые цены с учетом расхода'!H9:H12),2)</f>
        <v>0</v>
      </c>
      <c r="G79" s="27"/>
      <c r="H79" s="27"/>
      <c r="I79" s="27"/>
      <c r="J79" s="31"/>
      <c r="K79" s="31"/>
      <c r="L79" s="27"/>
    </row>
    <row r="80" spans="1:12" ht="10.5">
      <c r="A80" s="28">
        <v>71</v>
      </c>
      <c r="B80" s="7" t="s">
        <v>87</v>
      </c>
      <c r="C80" s="32" t="s">
        <v>287</v>
      </c>
      <c r="D80" s="35">
        <v>0</v>
      </c>
      <c r="F80" s="27">
        <f>ROUND(SUMIF(Определители!I9:I12,"=:",'Базовые цены с учетом расхода'!N9:N12),2)</f>
        <v>0</v>
      </c>
      <c r="G80" s="27"/>
      <c r="H80" s="27"/>
      <c r="I80" s="27"/>
      <c r="J80" s="31"/>
      <c r="K80" s="31"/>
      <c r="L80" s="27"/>
    </row>
    <row r="81" spans="1:12" ht="10.5">
      <c r="A81" s="28">
        <v>72</v>
      </c>
      <c r="B81" s="7" t="s">
        <v>88</v>
      </c>
      <c r="C81" s="32" t="s">
        <v>287</v>
      </c>
      <c r="D81" s="35">
        <v>0</v>
      </c>
      <c r="F81" s="27">
        <f>ROUND(SUMIF(Определители!I9:I12,"=:",'Базовые цены с учетом расхода'!O9:O12),2)</f>
        <v>0</v>
      </c>
      <c r="G81" s="27"/>
      <c r="H81" s="27"/>
      <c r="I81" s="27"/>
      <c r="J81" s="31"/>
      <c r="K81" s="31"/>
      <c r="L81" s="27"/>
    </row>
    <row r="82" spans="1:12" ht="10.5">
      <c r="A82" s="28">
        <v>73</v>
      </c>
      <c r="B82" s="7" t="s">
        <v>111</v>
      </c>
      <c r="C82" s="32" t="s">
        <v>288</v>
      </c>
      <c r="D82" s="35">
        <v>0</v>
      </c>
      <c r="F82" s="27">
        <f>ROUND((F78+F80+F81),2)</f>
        <v>0</v>
      </c>
      <c r="G82" s="27"/>
      <c r="H82" s="27"/>
      <c r="I82" s="27"/>
      <c r="J82" s="31"/>
      <c r="K82" s="31"/>
      <c r="L82" s="27"/>
    </row>
    <row r="83" spans="1:12" ht="10.5">
      <c r="A83" s="28">
        <v>74</v>
      </c>
      <c r="B83" s="7" t="s">
        <v>112</v>
      </c>
      <c r="C83" s="32" t="s">
        <v>287</v>
      </c>
      <c r="D83" s="35">
        <v>0</v>
      </c>
      <c r="F83" s="27">
        <f>ROUND(SUMIF(Определители!I9:I12,"=8",'Базовые цены с учетом расхода'!B9:B12),2)</f>
        <v>0</v>
      </c>
      <c r="G83" s="27">
        <f>ROUND(SUMIF(Определители!I9:I12,"=8",'Базовые цены с учетом расхода'!C9:C12),2)</f>
        <v>0</v>
      </c>
      <c r="H83" s="27">
        <f>ROUND(SUMIF(Определители!I9:I12,"=8",'Базовые цены с учетом расхода'!D9:D12),2)</f>
        <v>0</v>
      </c>
      <c r="I83" s="27">
        <f>ROUND(SUMIF(Определители!I9:I12,"=8",'Базовые цены с учетом расхода'!E9:E12),2)</f>
        <v>0</v>
      </c>
      <c r="J83" s="31">
        <f>ROUND(SUMIF(Определители!I9:I12,"=8",'Базовые цены с учетом расхода'!I9:I12),8)</f>
        <v>0</v>
      </c>
      <c r="K83" s="31">
        <f>ROUND(SUMIF(Определители!I9:I12,"=8",'Базовые цены с учетом расхода'!K9:K12),8)</f>
        <v>0</v>
      </c>
      <c r="L83" s="27">
        <f>ROUND(SUMIF(Определители!I9:I12,"=8",'Базовые цены с учетом расхода'!F9:F12),2)</f>
        <v>0</v>
      </c>
    </row>
    <row r="84" spans="1:12" ht="10.5">
      <c r="A84" s="28">
        <v>75</v>
      </c>
      <c r="B84" s="7" t="s">
        <v>86</v>
      </c>
      <c r="C84" s="32" t="s">
        <v>287</v>
      </c>
      <c r="D84" s="35">
        <v>0</v>
      </c>
      <c r="F84" s="27">
        <f>ROUND(SUMIF(Определители!I9:I12,"=8",'Базовые цены с учетом расхода'!H9:H12),2)</f>
        <v>0</v>
      </c>
      <c r="G84" s="27"/>
      <c r="H84" s="27"/>
      <c r="I84" s="27"/>
      <c r="J84" s="31"/>
      <c r="K84" s="31"/>
      <c r="L84" s="27"/>
    </row>
    <row r="85" spans="1:12" ht="10.5">
      <c r="A85" s="28">
        <v>76</v>
      </c>
      <c r="B85" s="7" t="s">
        <v>171</v>
      </c>
      <c r="C85" s="32" t="s">
        <v>288</v>
      </c>
      <c r="D85" s="35">
        <v>0</v>
      </c>
      <c r="F85" s="27">
        <f>ROUND((F20+F30+F37+F42+F50+F55+F60+F67+F77+F82+F83+F73),2)</f>
        <v>353.69</v>
      </c>
      <c r="G85" s="27">
        <f>ROUND((G20+G30+G37+G42+G50+G55+G60+G67+G77+G82+G83+G73),2)</f>
        <v>0</v>
      </c>
      <c r="H85" s="27">
        <f>ROUND((H20+H30+H37+H42+H50+H55+H60+H67+H77+H82+H83+H73),2)</f>
        <v>0</v>
      </c>
      <c r="I85" s="27">
        <f>ROUND((I20+I30+I37+I42+I50+I55+I60+I67+I77+I82+I83+I73),2)</f>
        <v>0</v>
      </c>
      <c r="J85" s="31">
        <f>ROUND((J20+J30+J37+J42+J50+J55+J60+J67+J77+J82+J83+J73),8)</f>
        <v>0</v>
      </c>
      <c r="K85" s="31">
        <f>ROUND((K20+K30+K37+K42+K50+K55+K60+K67+K77+K82+K83+K73),8)</f>
        <v>0</v>
      </c>
      <c r="L85" s="27">
        <f>ROUND((L20+L30+L37+L42+L50+L55+L60+L67+L77+L82+L83+L73),2)</f>
        <v>0</v>
      </c>
    </row>
    <row r="86" spans="1:12" ht="10.5">
      <c r="A86" s="28">
        <v>77</v>
      </c>
      <c r="B86" s="7" t="s">
        <v>113</v>
      </c>
      <c r="C86" s="32" t="s">
        <v>288</v>
      </c>
      <c r="D86" s="35">
        <v>0</v>
      </c>
      <c r="F86" s="27">
        <f>ROUND((F26+F34+F39+F46+F52+F57+F64+F79+F84),2)</f>
        <v>0</v>
      </c>
      <c r="G86" s="27"/>
      <c r="H86" s="27"/>
      <c r="I86" s="27"/>
      <c r="J86" s="31"/>
      <c r="K86" s="31"/>
      <c r="L86" s="27"/>
    </row>
    <row r="87" spans="1:12" ht="10.5">
      <c r="A87" s="28">
        <v>78</v>
      </c>
      <c r="B87" s="7" t="s">
        <v>114</v>
      </c>
      <c r="C87" s="32" t="s">
        <v>288</v>
      </c>
      <c r="D87" s="35">
        <v>0</v>
      </c>
      <c r="F87" s="27">
        <f>ROUND((F27+F35+F40+F47+F53+F58+F65+F75+F80+F71),2)</f>
        <v>113.73</v>
      </c>
      <c r="G87" s="27"/>
      <c r="H87" s="27"/>
      <c r="I87" s="27"/>
      <c r="J87" s="31"/>
      <c r="K87" s="31"/>
      <c r="L87" s="27"/>
    </row>
    <row r="88" spans="1:12" ht="10.5">
      <c r="A88" s="28">
        <v>79</v>
      </c>
      <c r="B88" s="7" t="s">
        <v>115</v>
      </c>
      <c r="C88" s="32" t="s">
        <v>288</v>
      </c>
      <c r="D88" s="35">
        <v>0</v>
      </c>
      <c r="F88" s="27">
        <f>ROUND((F28+F36+F41+F48+F54+F59+F66+F76+F81+F72),2)</f>
        <v>96.66</v>
      </c>
      <c r="G88" s="27"/>
      <c r="H88" s="27"/>
      <c r="I88" s="27"/>
      <c r="J88" s="31"/>
      <c r="K88" s="31"/>
      <c r="L88" s="27"/>
    </row>
    <row r="89" spans="1:12" ht="10.5">
      <c r="A89" s="28">
        <v>80</v>
      </c>
      <c r="B89" s="7" t="s">
        <v>38</v>
      </c>
      <c r="C89" s="32" t="s">
        <v>289</v>
      </c>
      <c r="D89" s="35">
        <v>0</v>
      </c>
      <c r="F89" s="27">
        <f>ROUND(SUM('Базовые цены с учетом расхода'!X9:X12),2)</f>
        <v>0</v>
      </c>
      <c r="G89" s="27"/>
      <c r="H89" s="27"/>
      <c r="I89" s="27"/>
      <c r="J89" s="31"/>
      <c r="K89" s="31"/>
      <c r="L89" s="27">
        <f>ROUND(SUM('Базовые цены с учетом расхода'!X9:X12),2)</f>
        <v>0</v>
      </c>
    </row>
    <row r="90" spans="1:12" ht="10.5">
      <c r="A90" s="28">
        <v>81</v>
      </c>
      <c r="B90" s="7" t="s">
        <v>116</v>
      </c>
      <c r="C90" s="32" t="s">
        <v>289</v>
      </c>
      <c r="D90" s="35">
        <v>0</v>
      </c>
      <c r="F90" s="27">
        <f>ROUND(SUM(G90:N90),2)</f>
        <v>0</v>
      </c>
      <c r="G90" s="27"/>
      <c r="H90" s="27"/>
      <c r="I90" s="27"/>
      <c r="J90" s="31"/>
      <c r="K90" s="31"/>
      <c r="L90" s="27">
        <f>ROUND(SUM('Базовые цены с учетом расхода'!AE9:AE12),2)</f>
        <v>0</v>
      </c>
    </row>
    <row r="91" spans="1:12" ht="10.5">
      <c r="A91" s="28">
        <v>82</v>
      </c>
      <c r="B91" s="7" t="s">
        <v>117</v>
      </c>
      <c r="C91" s="32" t="s">
        <v>289</v>
      </c>
      <c r="D91" s="35">
        <v>0</v>
      </c>
      <c r="F91" s="27">
        <f>ROUND(SUM('Базовые цены с учетом расхода'!C9:C12),2)</f>
        <v>141.27</v>
      </c>
      <c r="G91" s="27"/>
      <c r="H91" s="27"/>
      <c r="I91" s="27"/>
      <c r="J91" s="31"/>
      <c r="K91" s="31"/>
      <c r="L91" s="27"/>
    </row>
    <row r="92" spans="1:12" ht="10.5">
      <c r="A92" s="28">
        <v>83</v>
      </c>
      <c r="B92" s="7" t="s">
        <v>118</v>
      </c>
      <c r="C92" s="32" t="s">
        <v>289</v>
      </c>
      <c r="D92" s="35">
        <v>0</v>
      </c>
      <c r="F92" s="27">
        <f>ROUND(SUM('Базовые цены с учетом расхода'!E9:E12),2)</f>
        <v>0.88</v>
      </c>
      <c r="G92" s="27"/>
      <c r="H92" s="27"/>
      <c r="I92" s="27"/>
      <c r="J92" s="31"/>
      <c r="K92" s="31"/>
      <c r="L92" s="27"/>
    </row>
    <row r="93" spans="1:12" ht="10.5">
      <c r="A93" s="28">
        <v>84</v>
      </c>
      <c r="B93" s="7" t="s">
        <v>119</v>
      </c>
      <c r="C93" s="32" t="s">
        <v>290</v>
      </c>
      <c r="D93" s="35">
        <v>0</v>
      </c>
      <c r="F93" s="27">
        <f>ROUND((F91+F92),2)</f>
        <v>142.15</v>
      </c>
      <c r="G93" s="27"/>
      <c r="H93" s="27"/>
      <c r="I93" s="27"/>
      <c r="J93" s="31"/>
      <c r="K93" s="31"/>
      <c r="L93" s="27"/>
    </row>
    <row r="94" spans="1:12" ht="10.5">
      <c r="A94" s="28">
        <v>85</v>
      </c>
      <c r="B94" s="7" t="s">
        <v>120</v>
      </c>
      <c r="C94" s="32" t="s">
        <v>289</v>
      </c>
      <c r="D94" s="35">
        <v>0</v>
      </c>
      <c r="F94" s="27"/>
      <c r="G94" s="27"/>
      <c r="H94" s="27"/>
      <c r="I94" s="27"/>
      <c r="J94" s="31">
        <f>ROUND(SUM('Базовые цены с учетом расхода'!I9:I12),8)</f>
        <v>18.111</v>
      </c>
      <c r="K94" s="31"/>
      <c r="L94" s="27"/>
    </row>
    <row r="95" spans="1:12" ht="10.5">
      <c r="A95" s="28">
        <v>86</v>
      </c>
      <c r="B95" s="7" t="s">
        <v>121</v>
      </c>
      <c r="C95" s="32" t="s">
        <v>289</v>
      </c>
      <c r="D95" s="35">
        <v>0</v>
      </c>
      <c r="F95" s="27"/>
      <c r="G95" s="27"/>
      <c r="H95" s="27"/>
      <c r="I95" s="27"/>
      <c r="J95" s="31">
        <f>ROUND(SUM('Базовые цены с учетом расхода'!K9:K12),8)</f>
        <v>0.065</v>
      </c>
      <c r="K95" s="31"/>
      <c r="L95" s="27"/>
    </row>
    <row r="96" spans="1:12" ht="10.5">
      <c r="A96" s="28">
        <v>87</v>
      </c>
      <c r="B96" s="7" t="s">
        <v>122</v>
      </c>
      <c r="C96" s="32" t="s">
        <v>290</v>
      </c>
      <c r="D96" s="35">
        <v>0</v>
      </c>
      <c r="F96" s="27"/>
      <c r="G96" s="27"/>
      <c r="H96" s="27"/>
      <c r="I96" s="27"/>
      <c r="J96" s="31">
        <f>ROUND((J94+J95),8)</f>
        <v>18.176</v>
      </c>
      <c r="K96" s="31"/>
      <c r="L96" s="27"/>
    </row>
    <row r="98" spans="2:14" ht="10.5">
      <c r="B98" s="41" t="s">
        <v>123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N98" s="35"/>
    </row>
    <row r="99" spans="2:12" ht="10.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3" s="29" customFormat="1" ht="10.5">
      <c r="A100" s="5"/>
      <c r="B100" s="29" t="s">
        <v>274</v>
      </c>
      <c r="C100" s="29" t="s">
        <v>275</v>
      </c>
      <c r="D100" s="36" t="s">
        <v>276</v>
      </c>
      <c r="E100" s="29" t="s">
        <v>277</v>
      </c>
      <c r="F100" s="29" t="s">
        <v>278</v>
      </c>
      <c r="G100" s="29" t="s">
        <v>279</v>
      </c>
      <c r="H100" s="29" t="s">
        <v>280</v>
      </c>
      <c r="I100" s="29" t="s">
        <v>281</v>
      </c>
      <c r="J100" s="29" t="s">
        <v>282</v>
      </c>
      <c r="K100" s="29" t="s">
        <v>283</v>
      </c>
      <c r="L100" s="29" t="s">
        <v>284</v>
      </c>
      <c r="M100" s="29" t="s">
        <v>285</v>
      </c>
    </row>
    <row r="101" spans="1:14" ht="10.5">
      <c r="A101" s="28">
        <v>1</v>
      </c>
      <c r="B101" s="7" t="s">
        <v>170</v>
      </c>
      <c r="C101" s="32" t="s">
        <v>286</v>
      </c>
      <c r="D101" s="35">
        <v>0</v>
      </c>
      <c r="E101" s="35"/>
      <c r="F101" s="27">
        <f>ROUND(SUM('Базовые цены с учетом расхода'!B16:B24),2)</f>
        <v>18147.87</v>
      </c>
      <c r="G101" s="27">
        <f>ROUND(SUM('Базовые цены с учетом расхода'!C16:C24),2)</f>
        <v>2361.42</v>
      </c>
      <c r="H101" s="27">
        <f>ROUND(SUM('Базовые цены с учетом расхода'!D16:D24),2)</f>
        <v>437.4</v>
      </c>
      <c r="I101" s="27">
        <f>ROUND(SUM('Базовые цены с учетом расхода'!E16:E24),2)</f>
        <v>71.94</v>
      </c>
      <c r="J101" s="31">
        <f>ROUND(SUM('Базовые цены с учетом расхода'!I16:I24),8)</f>
        <v>268.566975</v>
      </c>
      <c r="K101" s="31">
        <f>ROUND(SUM('Базовые цены с учетом расхода'!K16:K24),8)</f>
        <v>6.304375</v>
      </c>
      <c r="L101" s="27">
        <f>ROUND(SUM('Базовые цены с учетом расхода'!F16:F24),2)</f>
        <v>15349.05</v>
      </c>
      <c r="N101" s="35"/>
    </row>
    <row r="102" spans="1:12" ht="10.5">
      <c r="A102" s="28">
        <v>2</v>
      </c>
      <c r="B102" s="7" t="s">
        <v>71</v>
      </c>
      <c r="C102" s="32" t="s">
        <v>287</v>
      </c>
      <c r="D102" s="35">
        <v>0</v>
      </c>
      <c r="F102" s="27">
        <f>ROUND(SUMIF(Определители!I16:I24,"= ",'Базовые цены с учетом расхода'!B16:B24),2)</f>
        <v>0</v>
      </c>
      <c r="G102" s="27">
        <f>ROUND(SUMIF(Определители!I16:I24,"= ",'Базовые цены с учетом расхода'!C16:C24),2)</f>
        <v>0</v>
      </c>
      <c r="H102" s="27">
        <f>ROUND(SUMIF(Определители!I16:I24,"= ",'Базовые цены с учетом расхода'!D16:D24),2)</f>
        <v>0</v>
      </c>
      <c r="I102" s="27">
        <f>ROUND(SUMIF(Определители!I16:I24,"= ",'Базовые цены с учетом расхода'!E16:E24),2)</f>
        <v>0</v>
      </c>
      <c r="J102" s="31">
        <f>ROUND(SUMIF(Определители!I16:I24,"= ",'Базовые цены с учетом расхода'!I16:I24),8)</f>
        <v>0</v>
      </c>
      <c r="K102" s="31">
        <f>ROUND(SUMIF(Определители!I16:I24,"= ",'Базовые цены с учетом расхода'!K16:K24),8)</f>
        <v>0</v>
      </c>
      <c r="L102" s="27">
        <f>ROUND(SUMIF(Определители!I16:I24,"= ",'Базовые цены с учетом расхода'!F16:F24),2)</f>
        <v>0</v>
      </c>
    </row>
    <row r="103" spans="1:12" ht="10.5">
      <c r="A103" s="28">
        <v>3</v>
      </c>
      <c r="B103" s="7" t="s">
        <v>72</v>
      </c>
      <c r="C103" s="32" t="s">
        <v>287</v>
      </c>
      <c r="D103" s="35">
        <v>0</v>
      </c>
      <c r="F103" s="27">
        <f>ROUND(СУММПРОИЗВЕСЛИ(0.01,Определители!I16:I24," ",'Базовые цены с учетом расхода'!B16:B24,Начисления!X16:X24,0),2)</f>
        <v>0</v>
      </c>
      <c r="G103" s="27"/>
      <c r="H103" s="27"/>
      <c r="I103" s="27"/>
      <c r="J103" s="31"/>
      <c r="K103" s="31"/>
      <c r="L103" s="27"/>
    </row>
    <row r="104" spans="1:12" ht="10.5">
      <c r="A104" s="28">
        <v>4</v>
      </c>
      <c r="B104" s="7" t="s">
        <v>73</v>
      </c>
      <c r="C104" s="32" t="s">
        <v>287</v>
      </c>
      <c r="D104" s="35">
        <v>0</v>
      </c>
      <c r="F104" s="27">
        <f>ROUND(СУММПРОИЗВЕСЛИ(0.01,Определители!I16:I24," ",'Базовые цены с учетом расхода'!B16:B24,Начисления!Y16:Y24,0),2)</f>
        <v>0</v>
      </c>
      <c r="G104" s="27"/>
      <c r="H104" s="27"/>
      <c r="I104" s="27"/>
      <c r="J104" s="31"/>
      <c r="K104" s="31"/>
      <c r="L104" s="27"/>
    </row>
    <row r="105" spans="1:12" ht="10.5">
      <c r="A105" s="28">
        <v>5</v>
      </c>
      <c r="B105" s="7" t="s">
        <v>74</v>
      </c>
      <c r="C105" s="32" t="s">
        <v>287</v>
      </c>
      <c r="D105" s="35">
        <v>0</v>
      </c>
      <c r="F105" s="27">
        <f>ROUND(ТРАНСПРАСХОД(Определители!B16:B24,Определители!H16:H24,Определители!I16:I24,'Базовые цены с учетом расхода'!B16:B24,Начисления!Z16:Z24,Начисления!AA16:AA24),2)</f>
        <v>0</v>
      </c>
      <c r="G105" s="27"/>
      <c r="H105" s="27"/>
      <c r="I105" s="27"/>
      <c r="J105" s="31"/>
      <c r="K105" s="31"/>
      <c r="L105" s="27"/>
    </row>
    <row r="106" spans="1:12" ht="10.5">
      <c r="A106" s="28">
        <v>6</v>
      </c>
      <c r="B106" s="7" t="s">
        <v>75</v>
      </c>
      <c r="C106" s="32" t="s">
        <v>287</v>
      </c>
      <c r="D106" s="35">
        <v>0</v>
      </c>
      <c r="F106" s="27">
        <f>ROUND(СУММПРОИЗВЕСЛИ(0.01,Определители!I16:I24," ",'Базовые цены с учетом расхода'!B16:B24,Начисления!AC16:AC24,0),2)</f>
        <v>0</v>
      </c>
      <c r="G106" s="27"/>
      <c r="H106" s="27"/>
      <c r="I106" s="27"/>
      <c r="J106" s="31"/>
      <c r="K106" s="31"/>
      <c r="L106" s="27"/>
    </row>
    <row r="107" spans="1:12" ht="10.5">
      <c r="A107" s="28">
        <v>7</v>
      </c>
      <c r="B107" s="7" t="s">
        <v>76</v>
      </c>
      <c r="C107" s="32" t="s">
        <v>287</v>
      </c>
      <c r="D107" s="35">
        <v>0</v>
      </c>
      <c r="F107" s="27">
        <f>ROUND(СУММПРОИЗВЕСЛИ(0.01,Определители!I16:I24," ",'Базовые цены с учетом расхода'!B16:B24,Начисления!AF16:AF24,0),2)</f>
        <v>0</v>
      </c>
      <c r="G107" s="27"/>
      <c r="H107" s="27"/>
      <c r="I107" s="27"/>
      <c r="J107" s="31"/>
      <c r="K107" s="31"/>
      <c r="L107" s="27"/>
    </row>
    <row r="108" spans="1:12" ht="10.5">
      <c r="A108" s="28">
        <v>8</v>
      </c>
      <c r="B108" s="7" t="s">
        <v>77</v>
      </c>
      <c r="C108" s="32" t="s">
        <v>287</v>
      </c>
      <c r="D108" s="35">
        <v>0</v>
      </c>
      <c r="F108" s="27">
        <f>ROUND(ЗАГОТСКЛАДРАСХОД(Определители!B16:B24,Определители!H16:H24,Определители!I16:I24,'Базовые цены с учетом расхода'!B16:B24,Начисления!X16:X24,Начисления!Y16:Y24,Начисления!Z16:Z24,Начисления!AA16:AA24,Начисления!AB16:AB24,Начисления!AC16:AC24,Начисления!AF16:AF24),2)</f>
        <v>0</v>
      </c>
      <c r="G108" s="27"/>
      <c r="H108" s="27"/>
      <c r="I108" s="27"/>
      <c r="J108" s="31"/>
      <c r="K108" s="31"/>
      <c r="L108" s="27"/>
    </row>
    <row r="109" spans="1:12" ht="10.5">
      <c r="A109" s="28">
        <v>9</v>
      </c>
      <c r="B109" s="7" t="s">
        <v>78</v>
      </c>
      <c r="C109" s="32" t="s">
        <v>287</v>
      </c>
      <c r="D109" s="35">
        <v>0</v>
      </c>
      <c r="F109" s="27">
        <f>ROUND(СУММПРОИЗВЕСЛИ(1,Определители!I16:I24," ",'Базовые цены с учетом расхода'!M16:M24,Начисления!I16:I24,0),2)</f>
        <v>0</v>
      </c>
      <c r="G109" s="27"/>
      <c r="H109" s="27"/>
      <c r="I109" s="27"/>
      <c r="J109" s="31"/>
      <c r="K109" s="31"/>
      <c r="L109" s="27"/>
    </row>
    <row r="110" spans="1:12" ht="10.5">
      <c r="A110" s="28">
        <v>10</v>
      </c>
      <c r="B110" s="7" t="s">
        <v>79</v>
      </c>
      <c r="C110" s="32" t="s">
        <v>288</v>
      </c>
      <c r="D110" s="35">
        <v>0</v>
      </c>
      <c r="F110" s="27">
        <f>ROUND((F109+F120+F140),2)</f>
        <v>0</v>
      </c>
      <c r="G110" s="27"/>
      <c r="H110" s="27"/>
      <c r="I110" s="27"/>
      <c r="J110" s="31"/>
      <c r="K110" s="31"/>
      <c r="L110" s="27"/>
    </row>
    <row r="111" spans="1:12" ht="10.5">
      <c r="A111" s="28">
        <v>11</v>
      </c>
      <c r="B111" s="7" t="s">
        <v>80</v>
      </c>
      <c r="C111" s="32" t="s">
        <v>288</v>
      </c>
      <c r="D111" s="35">
        <v>0</v>
      </c>
      <c r="F111" s="27">
        <f>ROUND((F102+F103+F104+F105+F106+F107+F108+F110),2)</f>
        <v>0</v>
      </c>
      <c r="G111" s="27"/>
      <c r="H111" s="27"/>
      <c r="I111" s="27"/>
      <c r="J111" s="31"/>
      <c r="K111" s="31"/>
      <c r="L111" s="27"/>
    </row>
    <row r="112" spans="1:12" ht="10.5">
      <c r="A112" s="28">
        <v>12</v>
      </c>
      <c r="B112" s="7" t="s">
        <v>81</v>
      </c>
      <c r="C112" s="32" t="s">
        <v>287</v>
      </c>
      <c r="D112" s="35">
        <v>0</v>
      </c>
      <c r="F112" s="27">
        <f>ROUND(SUMIF(Определители!I16:I24,"=1",'Базовые цены с учетом расхода'!B16:B24),2)</f>
        <v>0</v>
      </c>
      <c r="G112" s="27">
        <f>ROUND(SUMIF(Определители!I16:I24,"=1",'Базовые цены с учетом расхода'!C16:C24),2)</f>
        <v>0</v>
      </c>
      <c r="H112" s="27">
        <f>ROUND(SUMIF(Определители!I16:I24,"=1",'Базовые цены с учетом расхода'!D16:D24),2)</f>
        <v>0</v>
      </c>
      <c r="I112" s="27">
        <f>ROUND(SUMIF(Определители!I16:I24,"=1",'Базовые цены с учетом расхода'!E16:E24),2)</f>
        <v>0</v>
      </c>
      <c r="J112" s="31">
        <f>ROUND(SUMIF(Определители!I16:I24,"=1",'Базовые цены с учетом расхода'!I16:I24),8)</f>
        <v>0</v>
      </c>
      <c r="K112" s="31">
        <f>ROUND(SUMIF(Определители!I16:I24,"=1",'Базовые цены с учетом расхода'!K16:K24),8)</f>
        <v>0</v>
      </c>
      <c r="L112" s="27">
        <f>ROUND(SUMIF(Определители!I16:I24,"=1",'Базовые цены с учетом расхода'!F16:F24),2)</f>
        <v>0</v>
      </c>
    </row>
    <row r="113" spans="1:12" ht="10.5">
      <c r="A113" s="28">
        <v>13</v>
      </c>
      <c r="B113" s="7" t="s">
        <v>82</v>
      </c>
      <c r="C113" s="32" t="s">
        <v>287</v>
      </c>
      <c r="D113" s="35">
        <v>0</v>
      </c>
      <c r="F113" s="27"/>
      <c r="G113" s="27"/>
      <c r="H113" s="27"/>
      <c r="I113" s="27"/>
      <c r="J113" s="31"/>
      <c r="K113" s="31"/>
      <c r="L113" s="27"/>
    </row>
    <row r="114" spans="1:12" ht="10.5">
      <c r="A114" s="28">
        <v>14</v>
      </c>
      <c r="B114" s="7" t="s">
        <v>83</v>
      </c>
      <c r="C114" s="32" t="s">
        <v>287</v>
      </c>
      <c r="D114" s="35">
        <v>0</v>
      </c>
      <c r="F114" s="27"/>
      <c r="G114" s="27">
        <f>ROUND(SUMIF(Определители!I16:I24,"=1",'Базовые цены с учетом расхода'!T16:T24),2)</f>
        <v>0</v>
      </c>
      <c r="H114" s="27"/>
      <c r="I114" s="27"/>
      <c r="J114" s="31"/>
      <c r="K114" s="31"/>
      <c r="L114" s="27"/>
    </row>
    <row r="115" spans="1:12" ht="10.5">
      <c r="A115" s="28">
        <v>15</v>
      </c>
      <c r="B115" s="7" t="s">
        <v>84</v>
      </c>
      <c r="C115" s="32" t="s">
        <v>287</v>
      </c>
      <c r="D115" s="35">
        <v>0</v>
      </c>
      <c r="F115" s="27">
        <f>ROUND(SUMIF(Определители!I16:I24,"=1",'Базовые цены с учетом расхода'!U16:U24),2)</f>
        <v>0</v>
      </c>
      <c r="G115" s="27"/>
      <c r="H115" s="27"/>
      <c r="I115" s="27"/>
      <c r="J115" s="31"/>
      <c r="K115" s="31"/>
      <c r="L115" s="27"/>
    </row>
    <row r="116" spans="1:12" ht="10.5">
      <c r="A116" s="28">
        <v>16</v>
      </c>
      <c r="B116" s="7" t="s">
        <v>85</v>
      </c>
      <c r="C116" s="32" t="s">
        <v>287</v>
      </c>
      <c r="D116" s="35">
        <v>0</v>
      </c>
      <c r="F116" s="27">
        <f>ROUND(СУММЕСЛИ2(Определители!I16:I24,"1",Определители!G16:G24,"1",'Базовые цены с учетом расхода'!B16:B24),2)</f>
        <v>0</v>
      </c>
      <c r="G116" s="27"/>
      <c r="H116" s="27"/>
      <c r="I116" s="27"/>
      <c r="J116" s="31"/>
      <c r="K116" s="31"/>
      <c r="L116" s="27"/>
    </row>
    <row r="117" spans="1:12" ht="10.5">
      <c r="A117" s="28">
        <v>17</v>
      </c>
      <c r="B117" s="7" t="s">
        <v>86</v>
      </c>
      <c r="C117" s="32" t="s">
        <v>287</v>
      </c>
      <c r="D117" s="35">
        <v>0</v>
      </c>
      <c r="F117" s="27">
        <f>ROUND(SUMIF(Определители!I16:I24,"=1",'Базовые цены с учетом расхода'!H16:H24),2)</f>
        <v>0</v>
      </c>
      <c r="G117" s="27"/>
      <c r="H117" s="27"/>
      <c r="I117" s="27"/>
      <c r="J117" s="31"/>
      <c r="K117" s="31"/>
      <c r="L117" s="27"/>
    </row>
    <row r="118" spans="1:12" ht="10.5">
      <c r="A118" s="28">
        <v>18</v>
      </c>
      <c r="B118" s="7" t="s">
        <v>87</v>
      </c>
      <c r="C118" s="32" t="s">
        <v>287</v>
      </c>
      <c r="D118" s="35">
        <v>0</v>
      </c>
      <c r="F118" s="27">
        <f>ROUND(SUMIF(Определители!I16:I24,"=1",'Базовые цены с учетом расхода'!N16:N24),2)</f>
        <v>0</v>
      </c>
      <c r="G118" s="27"/>
      <c r="H118" s="27"/>
      <c r="I118" s="27"/>
      <c r="J118" s="31"/>
      <c r="K118" s="31"/>
      <c r="L118" s="27"/>
    </row>
    <row r="119" spans="1:12" ht="10.5">
      <c r="A119" s="28">
        <v>19</v>
      </c>
      <c r="B119" s="7" t="s">
        <v>88</v>
      </c>
      <c r="C119" s="32" t="s">
        <v>287</v>
      </c>
      <c r="D119" s="35">
        <v>0</v>
      </c>
      <c r="F119" s="27">
        <f>ROUND(SUMIF(Определители!I16:I24,"=1",'Базовые цены с учетом расхода'!O16:O24),2)</f>
        <v>0</v>
      </c>
      <c r="G119" s="27"/>
      <c r="H119" s="27"/>
      <c r="I119" s="27"/>
      <c r="J119" s="31"/>
      <c r="K119" s="31"/>
      <c r="L119" s="27"/>
    </row>
    <row r="120" spans="1:12" ht="10.5">
      <c r="A120" s="28">
        <v>20</v>
      </c>
      <c r="B120" s="7" t="s">
        <v>79</v>
      </c>
      <c r="C120" s="32" t="s">
        <v>287</v>
      </c>
      <c r="D120" s="35">
        <v>0</v>
      </c>
      <c r="F120" s="27">
        <f>ROUND(СУММПРОИЗВЕСЛИ(1,Определители!I16:I24," ",'Базовые цены с учетом расхода'!M16:M24,Начисления!I16:I24,0),2)</f>
        <v>0</v>
      </c>
      <c r="G120" s="27"/>
      <c r="H120" s="27"/>
      <c r="I120" s="27"/>
      <c r="J120" s="31"/>
      <c r="K120" s="31"/>
      <c r="L120" s="27"/>
    </row>
    <row r="121" spans="1:12" ht="10.5">
      <c r="A121" s="28">
        <v>21</v>
      </c>
      <c r="B121" s="7" t="s">
        <v>89</v>
      </c>
      <c r="C121" s="32" t="s">
        <v>288</v>
      </c>
      <c r="D121" s="35">
        <v>0</v>
      </c>
      <c r="F121" s="27">
        <f>ROUND((F112+F118+F119),2)</f>
        <v>0</v>
      </c>
      <c r="G121" s="27"/>
      <c r="H121" s="27"/>
      <c r="I121" s="27"/>
      <c r="J121" s="31"/>
      <c r="K121" s="31"/>
      <c r="L121" s="27"/>
    </row>
    <row r="122" spans="1:12" ht="10.5">
      <c r="A122" s="28">
        <v>22</v>
      </c>
      <c r="B122" s="7" t="s">
        <v>90</v>
      </c>
      <c r="C122" s="32" t="s">
        <v>287</v>
      </c>
      <c r="D122" s="35">
        <v>0</v>
      </c>
      <c r="F122" s="27">
        <f>ROUND(SUMIF(Определители!I16:I24,"=2",'Базовые цены с учетом расхода'!B16:B24),2)</f>
        <v>18147.87</v>
      </c>
      <c r="G122" s="27">
        <f>ROUND(SUMIF(Определители!I16:I24,"=2",'Базовые цены с учетом расхода'!C16:C24),2)</f>
        <v>2361.42</v>
      </c>
      <c r="H122" s="27">
        <f>ROUND(SUMIF(Определители!I16:I24,"=2",'Базовые цены с учетом расхода'!D16:D24),2)</f>
        <v>437.4</v>
      </c>
      <c r="I122" s="27">
        <f>ROUND(SUMIF(Определители!I16:I24,"=2",'Базовые цены с учетом расхода'!E16:E24),2)</f>
        <v>71.94</v>
      </c>
      <c r="J122" s="31">
        <f>ROUND(SUMIF(Определители!I16:I24,"=2",'Базовые цены с учетом расхода'!I16:I24),8)</f>
        <v>268.566975</v>
      </c>
      <c r="K122" s="31">
        <f>ROUND(SUMIF(Определители!I16:I24,"=2",'Базовые цены с учетом расхода'!K16:K24),8)</f>
        <v>6.304375</v>
      </c>
      <c r="L122" s="27">
        <f>ROUND(SUMIF(Определители!I16:I24,"=2",'Базовые цены с учетом расхода'!F16:F24),2)</f>
        <v>15349.05</v>
      </c>
    </row>
    <row r="123" spans="1:12" ht="10.5">
      <c r="A123" s="28">
        <v>23</v>
      </c>
      <c r="B123" s="7" t="s">
        <v>82</v>
      </c>
      <c r="C123" s="32" t="s">
        <v>287</v>
      </c>
      <c r="D123" s="35">
        <v>0</v>
      </c>
      <c r="F123" s="27"/>
      <c r="G123" s="27"/>
      <c r="H123" s="27"/>
      <c r="I123" s="27"/>
      <c r="J123" s="31"/>
      <c r="K123" s="31"/>
      <c r="L123" s="27"/>
    </row>
    <row r="124" spans="1:12" ht="10.5">
      <c r="A124" s="28">
        <v>24</v>
      </c>
      <c r="B124" s="7" t="s">
        <v>91</v>
      </c>
      <c r="C124" s="32" t="s">
        <v>287</v>
      </c>
      <c r="D124" s="35">
        <v>0</v>
      </c>
      <c r="F124" s="27">
        <f>ROUND(СУММЕСЛИ2(Определители!I16:I24,"2",Определители!G16:G24,"1",'Базовые цены с учетом расхода'!B16:B24),2)</f>
        <v>0</v>
      </c>
      <c r="G124" s="27"/>
      <c r="H124" s="27"/>
      <c r="I124" s="27"/>
      <c r="J124" s="31"/>
      <c r="K124" s="31"/>
      <c r="L124" s="27"/>
    </row>
    <row r="125" spans="1:12" ht="10.5">
      <c r="A125" s="28">
        <v>25</v>
      </c>
      <c r="B125" s="7" t="s">
        <v>86</v>
      </c>
      <c r="C125" s="32" t="s">
        <v>287</v>
      </c>
      <c r="D125" s="35">
        <v>0</v>
      </c>
      <c r="F125" s="27">
        <f>ROUND(SUMIF(Определители!I16:I24,"=2",'Базовые цены с учетом расхода'!H16:H24),2)</f>
        <v>0</v>
      </c>
      <c r="G125" s="27"/>
      <c r="H125" s="27"/>
      <c r="I125" s="27"/>
      <c r="J125" s="31"/>
      <c r="K125" s="31"/>
      <c r="L125" s="27"/>
    </row>
    <row r="126" spans="1:12" ht="10.5">
      <c r="A126" s="28">
        <v>26</v>
      </c>
      <c r="B126" s="7" t="s">
        <v>87</v>
      </c>
      <c r="C126" s="32" t="s">
        <v>287</v>
      </c>
      <c r="D126" s="35">
        <v>0</v>
      </c>
      <c r="F126" s="27">
        <f>ROUND(SUMIF(Определители!I16:I24,"=2",'Базовые цены с учетом расхода'!N16:N24),2)</f>
        <v>2692.65</v>
      </c>
      <c r="G126" s="27"/>
      <c r="H126" s="27"/>
      <c r="I126" s="27"/>
      <c r="J126" s="31"/>
      <c r="K126" s="31"/>
      <c r="L126" s="27"/>
    </row>
    <row r="127" spans="1:12" ht="10.5">
      <c r="A127" s="28">
        <v>27</v>
      </c>
      <c r="B127" s="7" t="s">
        <v>88</v>
      </c>
      <c r="C127" s="32" t="s">
        <v>287</v>
      </c>
      <c r="D127" s="35">
        <v>0</v>
      </c>
      <c r="F127" s="27">
        <f>ROUND(SUMIF(Определители!I16:I24,"=2",'Базовые цены с учетом расхода'!O16:O24),2)</f>
        <v>1550.69</v>
      </c>
      <c r="G127" s="27"/>
      <c r="H127" s="27"/>
      <c r="I127" s="27"/>
      <c r="J127" s="31"/>
      <c r="K127" s="31"/>
      <c r="L127" s="27"/>
    </row>
    <row r="128" spans="1:12" ht="10.5">
      <c r="A128" s="28">
        <v>28</v>
      </c>
      <c r="B128" s="7" t="s">
        <v>92</v>
      </c>
      <c r="C128" s="32" t="s">
        <v>288</v>
      </c>
      <c r="D128" s="35">
        <v>0</v>
      </c>
      <c r="F128" s="27">
        <f>ROUND((F122+F126+F127),2)</f>
        <v>22391.21</v>
      </c>
      <c r="G128" s="27"/>
      <c r="H128" s="27"/>
      <c r="I128" s="27"/>
      <c r="J128" s="31"/>
      <c r="K128" s="31"/>
      <c r="L128" s="27"/>
    </row>
    <row r="129" spans="1:12" ht="10.5">
      <c r="A129" s="28">
        <v>29</v>
      </c>
      <c r="B129" s="7" t="s">
        <v>93</v>
      </c>
      <c r="C129" s="32" t="s">
        <v>287</v>
      </c>
      <c r="D129" s="35">
        <v>0</v>
      </c>
      <c r="F129" s="27">
        <f>ROUND(SUMIF(Определители!I16:I24,"=3",'Базовые цены с учетом расхода'!B16:B24),2)</f>
        <v>0</v>
      </c>
      <c r="G129" s="27">
        <f>ROUND(SUMIF(Определители!I16:I24,"=3",'Базовые цены с учетом расхода'!C16:C24),2)</f>
        <v>0</v>
      </c>
      <c r="H129" s="27">
        <f>ROUND(SUMIF(Определители!I16:I24,"=3",'Базовые цены с учетом расхода'!D16:D24),2)</f>
        <v>0</v>
      </c>
      <c r="I129" s="27">
        <f>ROUND(SUMIF(Определители!I16:I24,"=3",'Базовые цены с учетом расхода'!E16:E24),2)</f>
        <v>0</v>
      </c>
      <c r="J129" s="31">
        <f>ROUND(SUMIF(Определители!I16:I24,"=3",'Базовые цены с учетом расхода'!I16:I24),8)</f>
        <v>0</v>
      </c>
      <c r="K129" s="31">
        <f>ROUND(SUMIF(Определители!I16:I24,"=3",'Базовые цены с учетом расхода'!K16:K24),8)</f>
        <v>0</v>
      </c>
      <c r="L129" s="27">
        <f>ROUND(SUMIF(Определители!I16:I24,"=3",'Базовые цены с учетом расхода'!F16:F24),2)</f>
        <v>0</v>
      </c>
    </row>
    <row r="130" spans="1:12" ht="10.5">
      <c r="A130" s="28">
        <v>30</v>
      </c>
      <c r="B130" s="7" t="s">
        <v>86</v>
      </c>
      <c r="C130" s="32" t="s">
        <v>287</v>
      </c>
      <c r="D130" s="35">
        <v>0</v>
      </c>
      <c r="F130" s="27">
        <f>ROUND(SUMIF(Определители!I16:I24,"=3",'Базовые цены с учетом расхода'!H16:H24),2)</f>
        <v>0</v>
      </c>
      <c r="G130" s="27"/>
      <c r="H130" s="27"/>
      <c r="I130" s="27"/>
      <c r="J130" s="31"/>
      <c r="K130" s="31"/>
      <c r="L130" s="27"/>
    </row>
    <row r="131" spans="1:12" ht="10.5">
      <c r="A131" s="28">
        <v>31</v>
      </c>
      <c r="B131" s="7" t="s">
        <v>87</v>
      </c>
      <c r="C131" s="32" t="s">
        <v>287</v>
      </c>
      <c r="D131" s="35">
        <v>0</v>
      </c>
      <c r="F131" s="27">
        <f>ROUND(SUMIF(Определители!I16:I24,"=3",'Базовые цены с учетом расхода'!N16:N24),2)</f>
        <v>0</v>
      </c>
      <c r="G131" s="27"/>
      <c r="H131" s="27"/>
      <c r="I131" s="27"/>
      <c r="J131" s="31"/>
      <c r="K131" s="31"/>
      <c r="L131" s="27"/>
    </row>
    <row r="132" spans="1:12" ht="10.5">
      <c r="A132" s="28">
        <v>32</v>
      </c>
      <c r="B132" s="7" t="s">
        <v>88</v>
      </c>
      <c r="C132" s="32" t="s">
        <v>287</v>
      </c>
      <c r="D132" s="35">
        <v>0</v>
      </c>
      <c r="F132" s="27">
        <f>ROUND(SUMIF(Определители!I16:I24,"=3",'Базовые цены с учетом расхода'!O16:O24),2)</f>
        <v>0</v>
      </c>
      <c r="G132" s="27"/>
      <c r="H132" s="27"/>
      <c r="I132" s="27"/>
      <c r="J132" s="31"/>
      <c r="K132" s="31"/>
      <c r="L132" s="27"/>
    </row>
    <row r="133" spans="1:12" ht="10.5">
      <c r="A133" s="28">
        <v>33</v>
      </c>
      <c r="B133" s="7" t="s">
        <v>94</v>
      </c>
      <c r="C133" s="32" t="s">
        <v>288</v>
      </c>
      <c r="D133" s="35">
        <v>0</v>
      </c>
      <c r="F133" s="27">
        <f>ROUND((F129+F131+F132),2)</f>
        <v>0</v>
      </c>
      <c r="G133" s="27"/>
      <c r="H133" s="27"/>
      <c r="I133" s="27"/>
      <c r="J133" s="31"/>
      <c r="K133" s="31"/>
      <c r="L133" s="27"/>
    </row>
    <row r="134" spans="1:12" ht="10.5">
      <c r="A134" s="28">
        <v>34</v>
      </c>
      <c r="B134" s="7" t="s">
        <v>95</v>
      </c>
      <c r="C134" s="32" t="s">
        <v>287</v>
      </c>
      <c r="D134" s="35">
        <v>0</v>
      </c>
      <c r="F134" s="27">
        <f>ROUND(SUMIF(Определители!I16:I24,"=4",'Базовые цены с учетом расхода'!B16:B24),2)</f>
        <v>0</v>
      </c>
      <c r="G134" s="27">
        <f>ROUND(SUMIF(Определители!I16:I24,"=4",'Базовые цены с учетом расхода'!C16:C24),2)</f>
        <v>0</v>
      </c>
      <c r="H134" s="27">
        <f>ROUND(SUMIF(Определители!I16:I24,"=4",'Базовые цены с учетом расхода'!D16:D24),2)</f>
        <v>0</v>
      </c>
      <c r="I134" s="27">
        <f>ROUND(SUMIF(Определители!I16:I24,"=4",'Базовые цены с учетом расхода'!E16:E24),2)</f>
        <v>0</v>
      </c>
      <c r="J134" s="31">
        <f>ROUND(SUMIF(Определители!I16:I24,"=4",'Базовые цены с учетом расхода'!I16:I24),8)</f>
        <v>0</v>
      </c>
      <c r="K134" s="31">
        <f>ROUND(SUMIF(Определители!I16:I24,"=4",'Базовые цены с учетом расхода'!K16:K24),8)</f>
        <v>0</v>
      </c>
      <c r="L134" s="27">
        <f>ROUND(SUMIF(Определители!I16:I24,"=4",'Базовые цены с учетом расхода'!F16:F24),2)</f>
        <v>0</v>
      </c>
    </row>
    <row r="135" spans="1:12" ht="10.5">
      <c r="A135" s="28">
        <v>35</v>
      </c>
      <c r="B135" s="7" t="s">
        <v>82</v>
      </c>
      <c r="C135" s="32" t="s">
        <v>287</v>
      </c>
      <c r="D135" s="35">
        <v>0</v>
      </c>
      <c r="F135" s="27"/>
      <c r="G135" s="27"/>
      <c r="H135" s="27"/>
      <c r="I135" s="27"/>
      <c r="J135" s="31"/>
      <c r="K135" s="31"/>
      <c r="L135" s="27"/>
    </row>
    <row r="136" spans="1:12" ht="10.5">
      <c r="A136" s="28">
        <v>36</v>
      </c>
      <c r="B136" s="7" t="s">
        <v>96</v>
      </c>
      <c r="C136" s="32" t="s">
        <v>287</v>
      </c>
      <c r="D136" s="35">
        <v>0</v>
      </c>
      <c r="F136" s="27">
        <f>ROUND(SUMIF(Определители!I16:I24,"=4",'Базовые цены с учетом расхода'!AJ16:AJ24),2)</f>
        <v>0</v>
      </c>
      <c r="G136" s="27">
        <f>ROUND(SUMIF(Определители!I16:I24,"=4",'Базовые цены с учетом расхода'!AI16:AI24),2)</f>
        <v>0</v>
      </c>
      <c r="H136" s="27">
        <f>ROUND(SUMIF(Определители!I16:I24,"=4",'Базовые цены с учетом расхода'!AH16:AH24),2)</f>
        <v>0</v>
      </c>
      <c r="I136" s="27">
        <f>ROUND(SUMIF(Определители!I16:I24,"=4",'Базовые цены с учетом расхода'!V16:V24),2)</f>
        <v>0</v>
      </c>
      <c r="J136" s="31"/>
      <c r="K136" s="31"/>
      <c r="L136" s="27"/>
    </row>
    <row r="137" spans="1:12" ht="10.5">
      <c r="A137" s="28">
        <v>37</v>
      </c>
      <c r="B137" s="7" t="s">
        <v>86</v>
      </c>
      <c r="C137" s="32" t="s">
        <v>287</v>
      </c>
      <c r="D137" s="35">
        <v>0</v>
      </c>
      <c r="F137" s="27">
        <f>ROUND(SUMIF(Определители!I16:I24,"=4",'Базовые цены с учетом расхода'!H16:H24),2)</f>
        <v>0</v>
      </c>
      <c r="G137" s="27"/>
      <c r="H137" s="27"/>
      <c r="I137" s="27"/>
      <c r="J137" s="31"/>
      <c r="K137" s="31"/>
      <c r="L137" s="27"/>
    </row>
    <row r="138" spans="1:12" ht="10.5">
      <c r="A138" s="28">
        <v>38</v>
      </c>
      <c r="B138" s="7" t="s">
        <v>87</v>
      </c>
      <c r="C138" s="32" t="s">
        <v>287</v>
      </c>
      <c r="D138" s="35">
        <v>0</v>
      </c>
      <c r="F138" s="27">
        <f>ROUND(SUMIF(Определители!I16:I24,"=4",'Базовые цены с учетом расхода'!N16:N24),2)</f>
        <v>0</v>
      </c>
      <c r="G138" s="27"/>
      <c r="H138" s="27"/>
      <c r="I138" s="27"/>
      <c r="J138" s="31"/>
      <c r="K138" s="31"/>
      <c r="L138" s="27"/>
    </row>
    <row r="139" spans="1:12" ht="10.5">
      <c r="A139" s="28">
        <v>39</v>
      </c>
      <c r="B139" s="7" t="s">
        <v>88</v>
      </c>
      <c r="C139" s="32" t="s">
        <v>287</v>
      </c>
      <c r="D139" s="35">
        <v>0</v>
      </c>
      <c r="F139" s="27">
        <f>ROUND(SUMIF(Определители!I16:I24,"=4",'Базовые цены с учетом расхода'!O16:O24),2)</f>
        <v>0</v>
      </c>
      <c r="G139" s="27"/>
      <c r="H139" s="27"/>
      <c r="I139" s="27"/>
      <c r="J139" s="31"/>
      <c r="K139" s="31"/>
      <c r="L139" s="27"/>
    </row>
    <row r="140" spans="1:12" ht="10.5">
      <c r="A140" s="28">
        <v>40</v>
      </c>
      <c r="B140" s="7" t="s">
        <v>79</v>
      </c>
      <c r="C140" s="32" t="s">
        <v>287</v>
      </c>
      <c r="D140" s="35">
        <v>0</v>
      </c>
      <c r="F140" s="27">
        <f>ROUND(СУММПРОИЗВЕСЛИ(1,Определители!I16:I24," ",'Базовые цены с учетом расхода'!M16:M24,Начисления!I16:I24,0),2)</f>
        <v>0</v>
      </c>
      <c r="G140" s="27"/>
      <c r="H140" s="27"/>
      <c r="I140" s="27"/>
      <c r="J140" s="31"/>
      <c r="K140" s="31"/>
      <c r="L140" s="27"/>
    </row>
    <row r="141" spans="1:12" ht="10.5">
      <c r="A141" s="28">
        <v>41</v>
      </c>
      <c r="B141" s="7" t="s">
        <v>97</v>
      </c>
      <c r="C141" s="32" t="s">
        <v>288</v>
      </c>
      <c r="D141" s="35">
        <v>0</v>
      </c>
      <c r="F141" s="27">
        <f>ROUND((F134+F138+F139),2)</f>
        <v>0</v>
      </c>
      <c r="G141" s="27"/>
      <c r="H141" s="27"/>
      <c r="I141" s="27"/>
      <c r="J141" s="31"/>
      <c r="K141" s="31"/>
      <c r="L141" s="27"/>
    </row>
    <row r="142" spans="1:12" ht="10.5">
      <c r="A142" s="28">
        <v>42</v>
      </c>
      <c r="B142" s="7" t="s">
        <v>98</v>
      </c>
      <c r="C142" s="32" t="s">
        <v>287</v>
      </c>
      <c r="D142" s="35">
        <v>0</v>
      </c>
      <c r="F142" s="27">
        <f>ROUND(SUMIF(Определители!I16:I24,"=5",'Базовые цены с учетом расхода'!B16:B24),2)</f>
        <v>0</v>
      </c>
      <c r="G142" s="27">
        <f>ROUND(SUMIF(Определители!I16:I24,"=5",'Базовые цены с учетом расхода'!C16:C24),2)</f>
        <v>0</v>
      </c>
      <c r="H142" s="27">
        <f>ROUND(SUMIF(Определители!I16:I24,"=5",'Базовые цены с учетом расхода'!D16:D24),2)</f>
        <v>0</v>
      </c>
      <c r="I142" s="27">
        <f>ROUND(SUMIF(Определители!I16:I24,"=5",'Базовые цены с учетом расхода'!E16:E24),2)</f>
        <v>0</v>
      </c>
      <c r="J142" s="31">
        <f>ROUND(SUMIF(Определители!I16:I24,"=5",'Базовые цены с учетом расхода'!I16:I24),8)</f>
        <v>0</v>
      </c>
      <c r="K142" s="31">
        <f>ROUND(SUMIF(Определители!I16:I24,"=5",'Базовые цены с учетом расхода'!K16:K24),8)</f>
        <v>0</v>
      </c>
      <c r="L142" s="27">
        <f>ROUND(SUMIF(Определители!I16:I24,"=5",'Базовые цены с учетом расхода'!F16:F24),2)</f>
        <v>0</v>
      </c>
    </row>
    <row r="143" spans="1:12" ht="10.5">
      <c r="A143" s="28">
        <v>43</v>
      </c>
      <c r="B143" s="7" t="s">
        <v>86</v>
      </c>
      <c r="C143" s="32" t="s">
        <v>287</v>
      </c>
      <c r="D143" s="35">
        <v>0</v>
      </c>
      <c r="F143" s="27">
        <f>ROUND(SUMIF(Определители!I16:I24,"=5",'Базовые цены с учетом расхода'!H16:H24),2)</f>
        <v>0</v>
      </c>
      <c r="G143" s="27"/>
      <c r="H143" s="27"/>
      <c r="I143" s="27"/>
      <c r="J143" s="31"/>
      <c r="K143" s="31"/>
      <c r="L143" s="27"/>
    </row>
    <row r="144" spans="1:12" ht="10.5">
      <c r="A144" s="28">
        <v>44</v>
      </c>
      <c r="B144" s="7" t="s">
        <v>87</v>
      </c>
      <c r="C144" s="32" t="s">
        <v>287</v>
      </c>
      <c r="D144" s="35">
        <v>0</v>
      </c>
      <c r="F144" s="27">
        <f>ROUND(SUMIF(Определители!I16:I24,"=5",'Базовые цены с учетом расхода'!N16:N24),2)</f>
        <v>0</v>
      </c>
      <c r="G144" s="27"/>
      <c r="H144" s="27"/>
      <c r="I144" s="27"/>
      <c r="J144" s="31"/>
      <c r="K144" s="31"/>
      <c r="L144" s="27"/>
    </row>
    <row r="145" spans="1:12" ht="10.5">
      <c r="A145" s="28">
        <v>45</v>
      </c>
      <c r="B145" s="7" t="s">
        <v>88</v>
      </c>
      <c r="C145" s="32" t="s">
        <v>287</v>
      </c>
      <c r="D145" s="35">
        <v>0</v>
      </c>
      <c r="F145" s="27">
        <f>ROUND(SUMIF(Определители!I16:I24,"=5",'Базовые цены с учетом расхода'!O16:O24),2)</f>
        <v>0</v>
      </c>
      <c r="G145" s="27"/>
      <c r="H145" s="27"/>
      <c r="I145" s="27"/>
      <c r="J145" s="31"/>
      <c r="K145" s="31"/>
      <c r="L145" s="27"/>
    </row>
    <row r="146" spans="1:12" ht="10.5">
      <c r="A146" s="28">
        <v>46</v>
      </c>
      <c r="B146" s="7" t="s">
        <v>99</v>
      </c>
      <c r="C146" s="32" t="s">
        <v>288</v>
      </c>
      <c r="D146" s="35">
        <v>0</v>
      </c>
      <c r="F146" s="27">
        <f>ROUND((F142+F144+F145),2)</f>
        <v>0</v>
      </c>
      <c r="G146" s="27"/>
      <c r="H146" s="27"/>
      <c r="I146" s="27"/>
      <c r="J146" s="31"/>
      <c r="K146" s="31"/>
      <c r="L146" s="27"/>
    </row>
    <row r="147" spans="1:12" ht="10.5">
      <c r="A147" s="28">
        <v>47</v>
      </c>
      <c r="B147" s="7" t="s">
        <v>100</v>
      </c>
      <c r="C147" s="32" t="s">
        <v>287</v>
      </c>
      <c r="D147" s="35">
        <v>0</v>
      </c>
      <c r="F147" s="27">
        <f>ROUND(SUMIF(Определители!I16:I24,"=6",'Базовые цены с учетом расхода'!B16:B24),2)</f>
        <v>0</v>
      </c>
      <c r="G147" s="27">
        <f>ROUND(SUMIF(Определители!I16:I24,"=6",'Базовые цены с учетом расхода'!C16:C24),2)</f>
        <v>0</v>
      </c>
      <c r="H147" s="27">
        <f>ROUND(SUMIF(Определители!I16:I24,"=6",'Базовые цены с учетом расхода'!D16:D24),2)</f>
        <v>0</v>
      </c>
      <c r="I147" s="27">
        <f>ROUND(SUMIF(Определители!I16:I24,"=6",'Базовые цены с учетом расхода'!E16:E24),2)</f>
        <v>0</v>
      </c>
      <c r="J147" s="31">
        <f>ROUND(SUMIF(Определители!I16:I24,"=6",'Базовые цены с учетом расхода'!I16:I24),8)</f>
        <v>0</v>
      </c>
      <c r="K147" s="31">
        <f>ROUND(SUMIF(Определители!I16:I24,"=6",'Базовые цены с учетом расхода'!K16:K24),8)</f>
        <v>0</v>
      </c>
      <c r="L147" s="27">
        <f>ROUND(SUMIF(Определители!I16:I24,"=6",'Базовые цены с учетом расхода'!F16:F24),2)</f>
        <v>0</v>
      </c>
    </row>
    <row r="148" spans="1:12" ht="10.5">
      <c r="A148" s="28">
        <v>48</v>
      </c>
      <c r="B148" s="7" t="s">
        <v>86</v>
      </c>
      <c r="C148" s="32" t="s">
        <v>287</v>
      </c>
      <c r="D148" s="35">
        <v>0</v>
      </c>
      <c r="F148" s="27">
        <f>ROUND(SUMIF(Определители!I16:I24,"=6",'Базовые цены с учетом расхода'!H16:H24),2)</f>
        <v>0</v>
      </c>
      <c r="G148" s="27"/>
      <c r="H148" s="27"/>
      <c r="I148" s="27"/>
      <c r="J148" s="31"/>
      <c r="K148" s="31"/>
      <c r="L148" s="27"/>
    </row>
    <row r="149" spans="1:12" ht="10.5">
      <c r="A149" s="28">
        <v>49</v>
      </c>
      <c r="B149" s="7" t="s">
        <v>87</v>
      </c>
      <c r="C149" s="32" t="s">
        <v>287</v>
      </c>
      <c r="D149" s="35">
        <v>0</v>
      </c>
      <c r="F149" s="27">
        <f>ROUND(SUMIF(Определители!I16:I24,"=6",'Базовые цены с учетом расхода'!N16:N24),2)</f>
        <v>0</v>
      </c>
      <c r="G149" s="27"/>
      <c r="H149" s="27"/>
      <c r="I149" s="27"/>
      <c r="J149" s="31"/>
      <c r="K149" s="31"/>
      <c r="L149" s="27"/>
    </row>
    <row r="150" spans="1:12" ht="10.5">
      <c r="A150" s="28">
        <v>50</v>
      </c>
      <c r="B150" s="7" t="s">
        <v>88</v>
      </c>
      <c r="C150" s="32" t="s">
        <v>287</v>
      </c>
      <c r="D150" s="35">
        <v>0</v>
      </c>
      <c r="F150" s="27">
        <f>ROUND(SUMIF(Определители!I16:I24,"=6",'Базовые цены с учетом расхода'!O16:O24),2)</f>
        <v>0</v>
      </c>
      <c r="G150" s="27"/>
      <c r="H150" s="27"/>
      <c r="I150" s="27"/>
      <c r="J150" s="31"/>
      <c r="K150" s="31"/>
      <c r="L150" s="27"/>
    </row>
    <row r="151" spans="1:12" ht="10.5">
      <c r="A151" s="28">
        <v>51</v>
      </c>
      <c r="B151" s="7" t="s">
        <v>101</v>
      </c>
      <c r="C151" s="32" t="s">
        <v>288</v>
      </c>
      <c r="D151" s="35">
        <v>0</v>
      </c>
      <c r="F151" s="27">
        <f>ROUND((F147+F149+F150),2)</f>
        <v>0</v>
      </c>
      <c r="G151" s="27"/>
      <c r="H151" s="27"/>
      <c r="I151" s="27"/>
      <c r="J151" s="31"/>
      <c r="K151" s="31"/>
      <c r="L151" s="27"/>
    </row>
    <row r="152" spans="1:12" ht="10.5">
      <c r="A152" s="28">
        <v>52</v>
      </c>
      <c r="B152" s="7" t="s">
        <v>102</v>
      </c>
      <c r="C152" s="32" t="s">
        <v>287</v>
      </c>
      <c r="D152" s="35">
        <v>0</v>
      </c>
      <c r="F152" s="27">
        <f>ROUND(SUMIF(Определители!I16:I24,"=7",'Базовые цены с учетом расхода'!B16:B24),2)</f>
        <v>0</v>
      </c>
      <c r="G152" s="27">
        <f>ROUND(SUMIF(Определители!I16:I24,"=7",'Базовые цены с учетом расхода'!C16:C24),2)</f>
        <v>0</v>
      </c>
      <c r="H152" s="27">
        <f>ROUND(SUMIF(Определители!I16:I24,"=7",'Базовые цены с учетом расхода'!D16:D24),2)</f>
        <v>0</v>
      </c>
      <c r="I152" s="27">
        <f>ROUND(SUMIF(Определители!I16:I24,"=7",'Базовые цены с учетом расхода'!E16:E24),2)</f>
        <v>0</v>
      </c>
      <c r="J152" s="31">
        <f>ROUND(SUMIF(Определители!I16:I24,"=7",'Базовые цены с учетом расхода'!I16:I24),8)</f>
        <v>0</v>
      </c>
      <c r="K152" s="31">
        <f>ROUND(SUMIF(Определители!I16:I24,"=7",'Базовые цены с учетом расхода'!K16:K24),8)</f>
        <v>0</v>
      </c>
      <c r="L152" s="27">
        <f>ROUND(SUMIF(Определители!I16:I24,"=7",'Базовые цены с учетом расхода'!F16:F24),2)</f>
        <v>0</v>
      </c>
    </row>
    <row r="153" spans="1:12" ht="10.5">
      <c r="A153" s="28">
        <v>53</v>
      </c>
      <c r="B153" s="7" t="s">
        <v>82</v>
      </c>
      <c r="C153" s="32" t="s">
        <v>287</v>
      </c>
      <c r="D153" s="35">
        <v>0</v>
      </c>
      <c r="F153" s="27"/>
      <c r="G153" s="27"/>
      <c r="H153" s="27"/>
      <c r="I153" s="27"/>
      <c r="J153" s="31"/>
      <c r="K153" s="31"/>
      <c r="L153" s="27"/>
    </row>
    <row r="154" spans="1:12" ht="10.5">
      <c r="A154" s="28">
        <v>54</v>
      </c>
      <c r="B154" s="7" t="s">
        <v>91</v>
      </c>
      <c r="C154" s="32" t="s">
        <v>287</v>
      </c>
      <c r="D154" s="35">
        <v>0</v>
      </c>
      <c r="F154" s="27">
        <f>ROUND(СУММЕСЛИ2(Определители!I16:I24,"2",Определители!G16:G24,"1",'Базовые цены с учетом расхода'!B16:B24),2)</f>
        <v>0</v>
      </c>
      <c r="G154" s="27"/>
      <c r="H154" s="27"/>
      <c r="I154" s="27"/>
      <c r="J154" s="31"/>
      <c r="K154" s="31"/>
      <c r="L154" s="27"/>
    </row>
    <row r="155" spans="1:12" ht="10.5">
      <c r="A155" s="28">
        <v>55</v>
      </c>
      <c r="B155" s="7" t="s">
        <v>86</v>
      </c>
      <c r="C155" s="32" t="s">
        <v>287</v>
      </c>
      <c r="D155" s="35">
        <v>0</v>
      </c>
      <c r="F155" s="27">
        <f>ROUND(SUMIF(Определители!I16:I24,"=7",'Базовые цены с учетом расхода'!H16:H24),2)</f>
        <v>0</v>
      </c>
      <c r="G155" s="27"/>
      <c r="H155" s="27"/>
      <c r="I155" s="27"/>
      <c r="J155" s="31"/>
      <c r="K155" s="31"/>
      <c r="L155" s="27"/>
    </row>
    <row r="156" spans="1:12" ht="10.5">
      <c r="A156" s="28">
        <v>56</v>
      </c>
      <c r="B156" s="7" t="s">
        <v>87</v>
      </c>
      <c r="C156" s="32" t="s">
        <v>287</v>
      </c>
      <c r="D156" s="35">
        <v>0</v>
      </c>
      <c r="F156" s="27">
        <f>ROUND(SUMIF(Определители!I16:I24,"=7",'Базовые цены с учетом расхода'!N16:N24),2)</f>
        <v>0</v>
      </c>
      <c r="G156" s="27"/>
      <c r="H156" s="27"/>
      <c r="I156" s="27"/>
      <c r="J156" s="31"/>
      <c r="K156" s="31"/>
      <c r="L156" s="27"/>
    </row>
    <row r="157" spans="1:12" ht="10.5">
      <c r="A157" s="28">
        <v>57</v>
      </c>
      <c r="B157" s="7" t="s">
        <v>88</v>
      </c>
      <c r="C157" s="32" t="s">
        <v>287</v>
      </c>
      <c r="D157" s="35">
        <v>0</v>
      </c>
      <c r="F157" s="27">
        <f>ROUND(SUMIF(Определители!I16:I24,"=7",'Базовые цены с учетом расхода'!O16:O24),2)</f>
        <v>0</v>
      </c>
      <c r="G157" s="27"/>
      <c r="H157" s="27"/>
      <c r="I157" s="27"/>
      <c r="J157" s="31"/>
      <c r="K157" s="31"/>
      <c r="L157" s="27"/>
    </row>
    <row r="158" spans="1:12" ht="10.5">
      <c r="A158" s="28">
        <v>58</v>
      </c>
      <c r="B158" s="7" t="s">
        <v>103</v>
      </c>
      <c r="C158" s="32" t="s">
        <v>288</v>
      </c>
      <c r="D158" s="35">
        <v>0</v>
      </c>
      <c r="F158" s="27">
        <f>ROUND((F152+F156+F157),2)</f>
        <v>0</v>
      </c>
      <c r="G158" s="27"/>
      <c r="H158" s="27"/>
      <c r="I158" s="27"/>
      <c r="J158" s="31"/>
      <c r="K158" s="31"/>
      <c r="L158" s="27"/>
    </row>
    <row r="159" spans="1:12" ht="10.5">
      <c r="A159" s="28">
        <v>59</v>
      </c>
      <c r="B159" s="7" t="s">
        <v>104</v>
      </c>
      <c r="C159" s="32" t="s">
        <v>287</v>
      </c>
      <c r="D159" s="35">
        <v>0</v>
      </c>
      <c r="F159" s="27">
        <f>ROUND(SUMIF(Определители!I16:I24,"=;",'Базовые цены с учетом расхода'!B16:B24),2)</f>
        <v>0</v>
      </c>
      <c r="G159" s="27">
        <f>ROUND(SUMIF(Определители!I16:I24,"=;",'Базовые цены с учетом расхода'!C16:C24),2)</f>
        <v>0</v>
      </c>
      <c r="H159" s="27">
        <f>ROUND(SUMIF(Определители!I16:I24,"=;",'Базовые цены с учетом расхода'!D16:D24),2)</f>
        <v>0</v>
      </c>
      <c r="I159" s="27">
        <f>ROUND(SUMIF(Определители!I16:I24,"=;",'Базовые цены с учетом расхода'!E16:E24),2)</f>
        <v>0</v>
      </c>
      <c r="J159" s="31">
        <f>ROUND(SUMIF(Определители!I16:I24,"=;",'Базовые цены с учетом расхода'!I16:I24),8)</f>
        <v>0</v>
      </c>
      <c r="K159" s="31">
        <f>ROUND(SUMIF(Определители!I16:I24,"=;",'Базовые цены с учетом расхода'!K16:K24),8)</f>
        <v>0</v>
      </c>
      <c r="L159" s="27">
        <f>ROUND(SUMIF(Определители!I16:I24,"=;",'Базовые цены с учетом расхода'!F16:F24),2)</f>
        <v>0</v>
      </c>
    </row>
    <row r="160" spans="1:12" ht="10.5">
      <c r="A160" s="28">
        <v>60</v>
      </c>
      <c r="B160" s="7" t="s">
        <v>105</v>
      </c>
      <c r="C160" s="32" t="s">
        <v>287</v>
      </c>
      <c r="D160" s="35">
        <v>0</v>
      </c>
      <c r="F160" s="27">
        <f>ROUND(SUMIF(Определители!I16:I24,"=;",'Базовые цены с учетом расхода'!AF16:AF24),2)</f>
        <v>0</v>
      </c>
      <c r="G160" s="27"/>
      <c r="H160" s="27"/>
      <c r="I160" s="27"/>
      <c r="J160" s="31"/>
      <c r="K160" s="31"/>
      <c r="L160" s="27"/>
    </row>
    <row r="161" spans="1:12" ht="10.5">
      <c r="A161" s="28">
        <v>61</v>
      </c>
      <c r="B161" s="7" t="s">
        <v>106</v>
      </c>
      <c r="C161" s="32" t="s">
        <v>287</v>
      </c>
      <c r="D161" s="35">
        <v>0</v>
      </c>
      <c r="F161" s="27">
        <f>ROUND(SUMIF(Определители!I16:I24,"=;",'Базовые цены с учетом расхода'!AG16:AG24),2)</f>
        <v>0</v>
      </c>
      <c r="G161" s="27"/>
      <c r="H161" s="27"/>
      <c r="I161" s="27"/>
      <c r="J161" s="31"/>
      <c r="K161" s="31"/>
      <c r="L161" s="27"/>
    </row>
    <row r="162" spans="1:12" ht="10.5">
      <c r="A162" s="28">
        <v>62</v>
      </c>
      <c r="B162" s="7" t="s">
        <v>87</v>
      </c>
      <c r="C162" s="32" t="s">
        <v>287</v>
      </c>
      <c r="D162" s="35">
        <v>0</v>
      </c>
      <c r="F162" s="27">
        <f>ROUND(SUMIF(Определители!I16:I24,"=;",'Базовые цены с учетом расхода'!N16:N24),2)</f>
        <v>0</v>
      </c>
      <c r="G162" s="27"/>
      <c r="H162" s="27"/>
      <c r="I162" s="27"/>
      <c r="J162" s="31"/>
      <c r="K162" s="31"/>
      <c r="L162" s="27"/>
    </row>
    <row r="163" spans="1:12" ht="10.5">
      <c r="A163" s="28">
        <v>63</v>
      </c>
      <c r="B163" s="7" t="s">
        <v>88</v>
      </c>
      <c r="C163" s="32" t="s">
        <v>287</v>
      </c>
      <c r="D163" s="35">
        <v>0</v>
      </c>
      <c r="F163" s="27">
        <f>ROUND(SUMIF(Определители!I16:I24,"=;",'Базовые цены с учетом расхода'!O16:O24),2)</f>
        <v>0</v>
      </c>
      <c r="G163" s="27"/>
      <c r="H163" s="27"/>
      <c r="I163" s="27"/>
      <c r="J163" s="31"/>
      <c r="K163" s="31"/>
      <c r="L163" s="27"/>
    </row>
    <row r="164" spans="1:12" ht="10.5">
      <c r="A164" s="28">
        <v>64</v>
      </c>
      <c r="B164" s="7" t="s">
        <v>107</v>
      </c>
      <c r="C164" s="32" t="s">
        <v>288</v>
      </c>
      <c r="D164" s="35">
        <v>0</v>
      </c>
      <c r="F164" s="27">
        <f>ROUND((F159+F162+F163),2)</f>
        <v>0</v>
      </c>
      <c r="G164" s="27"/>
      <c r="H164" s="27"/>
      <c r="I164" s="27"/>
      <c r="J164" s="31"/>
      <c r="K164" s="31"/>
      <c r="L164" s="27"/>
    </row>
    <row r="165" spans="1:12" ht="10.5">
      <c r="A165" s="28">
        <v>65</v>
      </c>
      <c r="B165" s="7" t="s">
        <v>108</v>
      </c>
      <c r="C165" s="32" t="s">
        <v>287</v>
      </c>
      <c r="D165" s="35">
        <v>0</v>
      </c>
      <c r="F165" s="27">
        <f>ROUND(SUMIF(Определители!I16:I24,"=9",'Базовые цены с учетом расхода'!B16:B24),2)</f>
        <v>0</v>
      </c>
      <c r="G165" s="27">
        <f>ROUND(SUMIF(Определители!I16:I24,"=9",'Базовые цены с учетом расхода'!C16:C24),2)</f>
        <v>0</v>
      </c>
      <c r="H165" s="27">
        <f>ROUND(SUMIF(Определители!I16:I24,"=9",'Базовые цены с учетом расхода'!D16:D24),2)</f>
        <v>0</v>
      </c>
      <c r="I165" s="27">
        <f>ROUND(SUMIF(Определители!I16:I24,"=9",'Базовые цены с учетом расхода'!E16:E24),2)</f>
        <v>0</v>
      </c>
      <c r="J165" s="31">
        <f>ROUND(SUMIF(Определители!I16:I24,"=9",'Базовые цены с учетом расхода'!I16:I24),8)</f>
        <v>0</v>
      </c>
      <c r="K165" s="31">
        <f>ROUND(SUMIF(Определители!I16:I24,"=9",'Базовые цены с учетом расхода'!K16:K24),8)</f>
        <v>0</v>
      </c>
      <c r="L165" s="27">
        <f>ROUND(SUMIF(Определители!I16:I24,"=9",'Базовые цены с учетом расхода'!F16:F24),2)</f>
        <v>0</v>
      </c>
    </row>
    <row r="166" spans="1:12" ht="10.5">
      <c r="A166" s="28">
        <v>66</v>
      </c>
      <c r="B166" s="7" t="s">
        <v>87</v>
      </c>
      <c r="C166" s="32" t="s">
        <v>287</v>
      </c>
      <c r="D166" s="35">
        <v>0</v>
      </c>
      <c r="F166" s="27">
        <f>ROUND(SUMIF(Определители!I16:I24,"=9",'Базовые цены с учетом расхода'!N16:N24),2)</f>
        <v>0</v>
      </c>
      <c r="G166" s="27"/>
      <c r="H166" s="27"/>
      <c r="I166" s="27"/>
      <c r="J166" s="31"/>
      <c r="K166" s="31"/>
      <c r="L166" s="27"/>
    </row>
    <row r="167" spans="1:12" ht="10.5">
      <c r="A167" s="28">
        <v>67</v>
      </c>
      <c r="B167" s="7" t="s">
        <v>88</v>
      </c>
      <c r="C167" s="32" t="s">
        <v>287</v>
      </c>
      <c r="D167" s="35">
        <v>0</v>
      </c>
      <c r="F167" s="27">
        <f>ROUND(SUMIF(Определители!I16:I24,"=9",'Базовые цены с учетом расхода'!O16:O24),2)</f>
        <v>0</v>
      </c>
      <c r="G167" s="27"/>
      <c r="H167" s="27"/>
      <c r="I167" s="27"/>
      <c r="J167" s="31"/>
      <c r="K167" s="31"/>
      <c r="L167" s="27"/>
    </row>
    <row r="168" spans="1:12" ht="10.5">
      <c r="A168" s="28">
        <v>68</v>
      </c>
      <c r="B168" s="7" t="s">
        <v>109</v>
      </c>
      <c r="C168" s="32" t="s">
        <v>288</v>
      </c>
      <c r="D168" s="35">
        <v>0</v>
      </c>
      <c r="F168" s="27">
        <f>ROUND((F165+F166+F167),2)</f>
        <v>0</v>
      </c>
      <c r="G168" s="27"/>
      <c r="H168" s="27"/>
      <c r="I168" s="27"/>
      <c r="J168" s="31"/>
      <c r="K168" s="31"/>
      <c r="L168" s="27"/>
    </row>
    <row r="169" spans="1:12" ht="10.5">
      <c r="A169" s="28">
        <v>69</v>
      </c>
      <c r="B169" s="7" t="s">
        <v>110</v>
      </c>
      <c r="C169" s="32" t="s">
        <v>287</v>
      </c>
      <c r="D169" s="35">
        <v>0</v>
      </c>
      <c r="F169" s="27">
        <f>ROUND(SUMIF(Определители!I16:I24,"=:",'Базовые цены с учетом расхода'!B16:B24),2)</f>
        <v>0</v>
      </c>
      <c r="G169" s="27">
        <f>ROUND(SUMIF(Определители!I16:I24,"=:",'Базовые цены с учетом расхода'!C16:C24),2)</f>
        <v>0</v>
      </c>
      <c r="H169" s="27">
        <f>ROUND(SUMIF(Определители!I16:I24,"=:",'Базовые цены с учетом расхода'!D16:D24),2)</f>
        <v>0</v>
      </c>
      <c r="I169" s="27">
        <f>ROUND(SUMIF(Определители!I16:I24,"=:",'Базовые цены с учетом расхода'!E16:E24),2)</f>
        <v>0</v>
      </c>
      <c r="J169" s="31">
        <f>ROUND(SUMIF(Определители!I16:I24,"=:",'Базовые цены с учетом расхода'!I16:I24),8)</f>
        <v>0</v>
      </c>
      <c r="K169" s="31">
        <f>ROUND(SUMIF(Определители!I16:I24,"=:",'Базовые цены с учетом расхода'!K16:K24),8)</f>
        <v>0</v>
      </c>
      <c r="L169" s="27">
        <f>ROUND(SUMIF(Определители!I16:I24,"=:",'Базовые цены с учетом расхода'!F16:F24),2)</f>
        <v>0</v>
      </c>
    </row>
    <row r="170" spans="1:12" ht="10.5">
      <c r="A170" s="28">
        <v>70</v>
      </c>
      <c r="B170" s="7" t="s">
        <v>86</v>
      </c>
      <c r="C170" s="32" t="s">
        <v>287</v>
      </c>
      <c r="D170" s="35">
        <v>0</v>
      </c>
      <c r="F170" s="27">
        <f>ROUND(SUMIF(Определители!I16:I24,"=:",'Базовые цены с учетом расхода'!H16:H24),2)</f>
        <v>0</v>
      </c>
      <c r="G170" s="27"/>
      <c r="H170" s="27"/>
      <c r="I170" s="27"/>
      <c r="J170" s="31"/>
      <c r="K170" s="31"/>
      <c r="L170" s="27"/>
    </row>
    <row r="171" spans="1:12" ht="10.5">
      <c r="A171" s="28">
        <v>71</v>
      </c>
      <c r="B171" s="7" t="s">
        <v>87</v>
      </c>
      <c r="C171" s="32" t="s">
        <v>287</v>
      </c>
      <c r="D171" s="35">
        <v>0</v>
      </c>
      <c r="F171" s="27">
        <f>ROUND(SUMIF(Определители!I16:I24,"=:",'Базовые цены с учетом расхода'!N16:N24),2)</f>
        <v>0</v>
      </c>
      <c r="G171" s="27"/>
      <c r="H171" s="27"/>
      <c r="I171" s="27"/>
      <c r="J171" s="31"/>
      <c r="K171" s="31"/>
      <c r="L171" s="27"/>
    </row>
    <row r="172" spans="1:12" ht="10.5">
      <c r="A172" s="28">
        <v>72</v>
      </c>
      <c r="B172" s="7" t="s">
        <v>88</v>
      </c>
      <c r="C172" s="32" t="s">
        <v>287</v>
      </c>
      <c r="D172" s="35">
        <v>0</v>
      </c>
      <c r="F172" s="27">
        <f>ROUND(SUMIF(Определители!I16:I24,"=:",'Базовые цены с учетом расхода'!O16:O24),2)</f>
        <v>0</v>
      </c>
      <c r="G172" s="27"/>
      <c r="H172" s="27"/>
      <c r="I172" s="27"/>
      <c r="J172" s="31"/>
      <c r="K172" s="31"/>
      <c r="L172" s="27"/>
    </row>
    <row r="173" spans="1:12" ht="10.5">
      <c r="A173" s="28">
        <v>73</v>
      </c>
      <c r="B173" s="7" t="s">
        <v>111</v>
      </c>
      <c r="C173" s="32" t="s">
        <v>288</v>
      </c>
      <c r="D173" s="35">
        <v>0</v>
      </c>
      <c r="F173" s="27">
        <f>ROUND((F169+F171+F172),2)</f>
        <v>0</v>
      </c>
      <c r="G173" s="27"/>
      <c r="H173" s="27"/>
      <c r="I173" s="27"/>
      <c r="J173" s="31"/>
      <c r="K173" s="31"/>
      <c r="L173" s="27"/>
    </row>
    <row r="174" spans="1:12" ht="10.5">
      <c r="A174" s="28">
        <v>74</v>
      </c>
      <c r="B174" s="7" t="s">
        <v>112</v>
      </c>
      <c r="C174" s="32" t="s">
        <v>287</v>
      </c>
      <c r="D174" s="35">
        <v>0</v>
      </c>
      <c r="F174" s="27">
        <f>ROUND(SUMIF(Определители!I16:I24,"=8",'Базовые цены с учетом расхода'!B16:B24),2)</f>
        <v>0</v>
      </c>
      <c r="G174" s="27">
        <f>ROUND(SUMIF(Определители!I16:I24,"=8",'Базовые цены с учетом расхода'!C16:C24),2)</f>
        <v>0</v>
      </c>
      <c r="H174" s="27">
        <f>ROUND(SUMIF(Определители!I16:I24,"=8",'Базовые цены с учетом расхода'!D16:D24),2)</f>
        <v>0</v>
      </c>
      <c r="I174" s="27">
        <f>ROUND(SUMIF(Определители!I16:I24,"=8",'Базовые цены с учетом расхода'!E16:E24),2)</f>
        <v>0</v>
      </c>
      <c r="J174" s="31">
        <f>ROUND(SUMIF(Определители!I16:I24,"=8",'Базовые цены с учетом расхода'!I16:I24),8)</f>
        <v>0</v>
      </c>
      <c r="K174" s="31">
        <f>ROUND(SUMIF(Определители!I16:I24,"=8",'Базовые цены с учетом расхода'!K16:K24),8)</f>
        <v>0</v>
      </c>
      <c r="L174" s="27">
        <f>ROUND(SUMIF(Определители!I16:I24,"=8",'Базовые цены с учетом расхода'!F16:F24),2)</f>
        <v>0</v>
      </c>
    </row>
    <row r="175" spans="1:12" ht="10.5">
      <c r="A175" s="28">
        <v>75</v>
      </c>
      <c r="B175" s="7" t="s">
        <v>86</v>
      </c>
      <c r="C175" s="32" t="s">
        <v>287</v>
      </c>
      <c r="D175" s="35">
        <v>0</v>
      </c>
      <c r="F175" s="27">
        <f>ROUND(SUMIF(Определители!I16:I24,"=8",'Базовые цены с учетом расхода'!H16:H24),2)</f>
        <v>0</v>
      </c>
      <c r="G175" s="27"/>
      <c r="H175" s="27"/>
      <c r="I175" s="27"/>
      <c r="J175" s="31"/>
      <c r="K175" s="31"/>
      <c r="L175" s="27"/>
    </row>
    <row r="176" spans="1:12" ht="10.5">
      <c r="A176" s="28">
        <v>76</v>
      </c>
      <c r="B176" s="7" t="s">
        <v>171</v>
      </c>
      <c r="C176" s="32" t="s">
        <v>288</v>
      </c>
      <c r="D176" s="35">
        <v>0</v>
      </c>
      <c r="F176" s="27">
        <f>ROUND((F111+F121+F128+F133+F141+F146+F151+F158+F168+F173+F174+F164),2)</f>
        <v>22391.21</v>
      </c>
      <c r="G176" s="27">
        <f>ROUND((G111+G121+G128+G133+G141+G146+G151+G158+G168+G173+G174+G164),2)</f>
        <v>0</v>
      </c>
      <c r="H176" s="27">
        <f>ROUND((H111+H121+H128+H133+H141+H146+H151+H158+H168+H173+H174+H164),2)</f>
        <v>0</v>
      </c>
      <c r="I176" s="27">
        <f>ROUND((I111+I121+I128+I133+I141+I146+I151+I158+I168+I173+I174+I164),2)</f>
        <v>0</v>
      </c>
      <c r="J176" s="31">
        <f>ROUND((J111+J121+J128+J133+J141+J146+J151+J158+J168+J173+J174+J164),8)</f>
        <v>0</v>
      </c>
      <c r="K176" s="31">
        <f>ROUND((K111+K121+K128+K133+K141+K146+K151+K158+K168+K173+K174+K164),8)</f>
        <v>0</v>
      </c>
      <c r="L176" s="27">
        <f>ROUND((L111+L121+L128+L133+L141+L146+L151+L158+L168+L173+L174+L164),2)</f>
        <v>0</v>
      </c>
    </row>
    <row r="177" spans="1:12" ht="10.5">
      <c r="A177" s="28">
        <v>77</v>
      </c>
      <c r="B177" s="7" t="s">
        <v>113</v>
      </c>
      <c r="C177" s="32" t="s">
        <v>288</v>
      </c>
      <c r="D177" s="35">
        <v>0</v>
      </c>
      <c r="F177" s="27">
        <f>ROUND((F117+F125+F130+F137+F143+F148+F155+F170+F175),2)</f>
        <v>0</v>
      </c>
      <c r="G177" s="27"/>
      <c r="H177" s="27"/>
      <c r="I177" s="27"/>
      <c r="J177" s="31"/>
      <c r="K177" s="31"/>
      <c r="L177" s="27"/>
    </row>
    <row r="178" spans="1:12" ht="10.5">
      <c r="A178" s="28">
        <v>78</v>
      </c>
      <c r="B178" s="7" t="s">
        <v>114</v>
      </c>
      <c r="C178" s="32" t="s">
        <v>288</v>
      </c>
      <c r="D178" s="35">
        <v>0</v>
      </c>
      <c r="F178" s="27">
        <f>ROUND((F118+F126+F131+F138+F144+F149+F156+F166+F171+F162),2)</f>
        <v>2692.65</v>
      </c>
      <c r="G178" s="27"/>
      <c r="H178" s="27"/>
      <c r="I178" s="27"/>
      <c r="J178" s="31"/>
      <c r="K178" s="31"/>
      <c r="L178" s="27"/>
    </row>
    <row r="179" spans="1:12" ht="10.5">
      <c r="A179" s="28">
        <v>79</v>
      </c>
      <c r="B179" s="7" t="s">
        <v>115</v>
      </c>
      <c r="C179" s="32" t="s">
        <v>288</v>
      </c>
      <c r="D179" s="35">
        <v>0</v>
      </c>
      <c r="F179" s="27">
        <f>ROUND((F119+F127+F132+F139+F145+F150+F157+F167+F172+F163),2)</f>
        <v>1550.69</v>
      </c>
      <c r="G179" s="27"/>
      <c r="H179" s="27"/>
      <c r="I179" s="27"/>
      <c r="J179" s="31"/>
      <c r="K179" s="31"/>
      <c r="L179" s="27"/>
    </row>
    <row r="180" spans="1:12" ht="10.5">
      <c r="A180" s="28">
        <v>80</v>
      </c>
      <c r="B180" s="7" t="s">
        <v>38</v>
      </c>
      <c r="C180" s="32" t="s">
        <v>289</v>
      </c>
      <c r="D180" s="35">
        <v>0</v>
      </c>
      <c r="F180" s="27">
        <f>ROUND(SUM('Базовые цены с учетом расхода'!X16:X24),2)</f>
        <v>0</v>
      </c>
      <c r="G180" s="27"/>
      <c r="H180" s="27"/>
      <c r="I180" s="27"/>
      <c r="J180" s="31"/>
      <c r="K180" s="31"/>
      <c r="L180" s="27">
        <f>ROUND(SUM('Базовые цены с учетом расхода'!X16:X24),2)</f>
        <v>0</v>
      </c>
    </row>
    <row r="181" spans="1:12" ht="10.5">
      <c r="A181" s="28">
        <v>81</v>
      </c>
      <c r="B181" s="7" t="s">
        <v>116</v>
      </c>
      <c r="C181" s="32" t="s">
        <v>289</v>
      </c>
      <c r="D181" s="35">
        <v>0</v>
      </c>
      <c r="F181" s="27">
        <f>ROUND(SUM(G181:N181),2)</f>
        <v>0</v>
      </c>
      <c r="G181" s="27"/>
      <c r="H181" s="27"/>
      <c r="I181" s="27"/>
      <c r="J181" s="31"/>
      <c r="K181" s="31"/>
      <c r="L181" s="27">
        <f>ROUND(SUM('Базовые цены с учетом расхода'!AE16:AE24),2)</f>
        <v>0</v>
      </c>
    </row>
    <row r="182" spans="1:12" ht="10.5">
      <c r="A182" s="28">
        <v>82</v>
      </c>
      <c r="B182" s="7" t="s">
        <v>117</v>
      </c>
      <c r="C182" s="32" t="s">
        <v>289</v>
      </c>
      <c r="D182" s="35">
        <v>0</v>
      </c>
      <c r="F182" s="27">
        <f>ROUND(SUM('Базовые цены с учетом расхода'!C16:C24),2)</f>
        <v>2361.42</v>
      </c>
      <c r="G182" s="27"/>
      <c r="H182" s="27"/>
      <c r="I182" s="27"/>
      <c r="J182" s="31"/>
      <c r="K182" s="31"/>
      <c r="L182" s="27"/>
    </row>
    <row r="183" spans="1:12" ht="10.5">
      <c r="A183" s="28">
        <v>83</v>
      </c>
      <c r="B183" s="7" t="s">
        <v>118</v>
      </c>
      <c r="C183" s="32" t="s">
        <v>289</v>
      </c>
      <c r="D183" s="35">
        <v>0</v>
      </c>
      <c r="F183" s="27">
        <f>ROUND(SUM('Базовые цены с учетом расхода'!E16:E24),2)</f>
        <v>71.94</v>
      </c>
      <c r="G183" s="27"/>
      <c r="H183" s="27"/>
      <c r="I183" s="27"/>
      <c r="J183" s="31"/>
      <c r="K183" s="31"/>
      <c r="L183" s="27"/>
    </row>
    <row r="184" spans="1:12" ht="10.5">
      <c r="A184" s="28">
        <v>84</v>
      </c>
      <c r="B184" s="7" t="s">
        <v>119</v>
      </c>
      <c r="C184" s="32" t="s">
        <v>290</v>
      </c>
      <c r="D184" s="35">
        <v>0</v>
      </c>
      <c r="F184" s="27">
        <f>ROUND((F182+F183),2)</f>
        <v>2433.36</v>
      </c>
      <c r="G184" s="27"/>
      <c r="H184" s="27"/>
      <c r="I184" s="27"/>
      <c r="J184" s="31"/>
      <c r="K184" s="31"/>
      <c r="L184" s="27"/>
    </row>
    <row r="185" spans="1:12" ht="10.5">
      <c r="A185" s="28">
        <v>85</v>
      </c>
      <c r="B185" s="7" t="s">
        <v>120</v>
      </c>
      <c r="C185" s="32" t="s">
        <v>289</v>
      </c>
      <c r="D185" s="35">
        <v>0</v>
      </c>
      <c r="F185" s="27"/>
      <c r="G185" s="27"/>
      <c r="H185" s="27"/>
      <c r="I185" s="27"/>
      <c r="J185" s="31">
        <f>ROUND(SUM('Базовые цены с учетом расхода'!I16:I24),8)</f>
        <v>268.566975</v>
      </c>
      <c r="K185" s="31"/>
      <c r="L185" s="27"/>
    </row>
    <row r="186" spans="1:12" ht="10.5">
      <c r="A186" s="28">
        <v>86</v>
      </c>
      <c r="B186" s="7" t="s">
        <v>121</v>
      </c>
      <c r="C186" s="32" t="s">
        <v>289</v>
      </c>
      <c r="D186" s="35">
        <v>0</v>
      </c>
      <c r="F186" s="27"/>
      <c r="G186" s="27"/>
      <c r="H186" s="27"/>
      <c r="I186" s="27"/>
      <c r="J186" s="31">
        <f>ROUND(SUM('Базовые цены с учетом расхода'!K16:K24),8)</f>
        <v>6.304375</v>
      </c>
      <c r="K186" s="31"/>
      <c r="L186" s="27"/>
    </row>
    <row r="187" spans="1:12" ht="10.5">
      <c r="A187" s="28">
        <v>87</v>
      </c>
      <c r="B187" s="7" t="s">
        <v>122</v>
      </c>
      <c r="C187" s="32" t="s">
        <v>290</v>
      </c>
      <c r="D187" s="35">
        <v>0</v>
      </c>
      <c r="F187" s="27"/>
      <c r="G187" s="27"/>
      <c r="H187" s="27"/>
      <c r="I187" s="27"/>
      <c r="J187" s="31">
        <f>ROUND((J185+J186),8)</f>
        <v>274.87135</v>
      </c>
      <c r="K187" s="31"/>
      <c r="L187" s="27"/>
    </row>
    <row r="188" spans="1:13" s="29" customFormat="1" ht="10.5">
      <c r="A188" s="5"/>
      <c r="B188" s="29" t="s">
        <v>274</v>
      </c>
      <c r="C188" s="29" t="s">
        <v>275</v>
      </c>
      <c r="D188" s="36" t="s">
        <v>276</v>
      </c>
      <c r="E188" s="29" t="s">
        <v>277</v>
      </c>
      <c r="F188" s="29" t="s">
        <v>278</v>
      </c>
      <c r="G188" s="29" t="s">
        <v>279</v>
      </c>
      <c r="H188" s="29" t="s">
        <v>280</v>
      </c>
      <c r="I188" s="29" t="s">
        <v>281</v>
      </c>
      <c r="J188" s="29" t="s">
        <v>282</v>
      </c>
      <c r="K188" s="29" t="s">
        <v>283</v>
      </c>
      <c r="L188" s="29" t="s">
        <v>284</v>
      </c>
      <c r="M188" s="29" t="s">
        <v>285</v>
      </c>
    </row>
    <row r="189" spans="1:14" ht="10.5">
      <c r="A189" s="28">
        <v>1</v>
      </c>
      <c r="B189" s="7" t="s">
        <v>170</v>
      </c>
      <c r="C189" s="32" t="s">
        <v>286</v>
      </c>
      <c r="D189" s="35">
        <v>0</v>
      </c>
      <c r="E189" s="35"/>
      <c r="F189" s="27">
        <f>ROUND(SUM('Базовые цены с учетом расхода'!B6:B24),2)</f>
        <v>18291.17</v>
      </c>
      <c r="G189" s="27">
        <f>ROUND(SUM('Базовые цены с учетом расхода'!C6:C24),2)</f>
        <v>2502.69</v>
      </c>
      <c r="H189" s="27">
        <f>ROUND(SUM('Базовые цены с учетом расхода'!D6:D24),2)</f>
        <v>439.43</v>
      </c>
      <c r="I189" s="27">
        <f>ROUND(SUM('Базовые цены с учетом расхода'!E6:E24),2)</f>
        <v>72.82</v>
      </c>
      <c r="J189" s="31">
        <f>ROUND(SUM('Базовые цены с учетом расхода'!I6:I24),8)</f>
        <v>286.677975</v>
      </c>
      <c r="K189" s="31">
        <f>ROUND(SUM('Базовые цены с учетом расхода'!K6:K24),8)</f>
        <v>6.369375</v>
      </c>
      <c r="L189" s="27">
        <f>ROUND(SUM('Базовые цены с учетом расхода'!F6:F24),2)</f>
        <v>15349.05</v>
      </c>
      <c r="N189" s="32" t="s">
        <v>270</v>
      </c>
    </row>
    <row r="190" spans="1:14" ht="10.5">
      <c r="A190" s="28">
        <v>2</v>
      </c>
      <c r="B190" s="7" t="s">
        <v>71</v>
      </c>
      <c r="C190" s="32" t="s">
        <v>287</v>
      </c>
      <c r="D190" s="35">
        <v>0</v>
      </c>
      <c r="F190" s="27">
        <f>ROUND(SUMIF(Определители!I6:I24,"= ",'Базовые цены с учетом расхода'!B6:B24),2)</f>
        <v>0</v>
      </c>
      <c r="G190" s="27">
        <f>ROUND(SUMIF(Определители!I6:I24,"= ",'Базовые цены с учетом расхода'!C6:C24),2)</f>
        <v>0</v>
      </c>
      <c r="H190" s="27">
        <f>ROUND(SUMIF(Определители!I6:I24,"= ",'Базовые цены с учетом расхода'!D6:D24),2)</f>
        <v>0</v>
      </c>
      <c r="I190" s="27">
        <f>ROUND(SUMIF(Определители!I6:I24,"= ",'Базовые цены с учетом расхода'!E6:E24),2)</f>
        <v>0</v>
      </c>
      <c r="J190" s="31">
        <f>ROUND(SUMIF(Определители!I6:I24,"= ",'Базовые цены с учетом расхода'!I6:I24),8)</f>
        <v>0</v>
      </c>
      <c r="K190" s="31">
        <f>ROUND(SUMIF(Определители!I6:I24,"= ",'Базовые цены с учетом расхода'!K6:K24),8)</f>
        <v>0</v>
      </c>
      <c r="L190" s="27">
        <f>ROUND(SUMIF(Определители!I6:I24,"= ",'Базовые цены с учетом расхода'!F6:F24),2)</f>
        <v>0</v>
      </c>
      <c r="N190" s="32" t="s">
        <v>273</v>
      </c>
    </row>
    <row r="191" spans="1:14" ht="10.5">
      <c r="A191" s="28">
        <v>3</v>
      </c>
      <c r="B191" s="7" t="s">
        <v>72</v>
      </c>
      <c r="C191" s="32" t="s">
        <v>287</v>
      </c>
      <c r="D191" s="35">
        <v>0</v>
      </c>
      <c r="F191" s="27">
        <f>ROUND(СУММПРОИЗВЕСЛИ(0.01,Определители!I6:I24," ",'Базовые цены с учетом расхода'!B6:B24,Начисления!X6:X24,0),2)</f>
        <v>0</v>
      </c>
      <c r="G191" s="27"/>
      <c r="H191" s="27"/>
      <c r="I191" s="27"/>
      <c r="J191" s="31"/>
      <c r="K191" s="31"/>
      <c r="L191" s="27"/>
      <c r="N191" s="32" t="s">
        <v>291</v>
      </c>
    </row>
    <row r="192" spans="1:14" ht="10.5">
      <c r="A192" s="28">
        <v>4</v>
      </c>
      <c r="B192" s="7" t="s">
        <v>73</v>
      </c>
      <c r="C192" s="32" t="s">
        <v>287</v>
      </c>
      <c r="D192" s="35">
        <v>0</v>
      </c>
      <c r="F192" s="27">
        <f>ROUND(СУММПРОИЗВЕСЛИ(0.01,Определители!I6:I24," ",'Базовые цены с учетом расхода'!B6:B24,Начисления!Y6:Y24,0),2)</f>
        <v>0</v>
      </c>
      <c r="G192" s="27"/>
      <c r="H192" s="27"/>
      <c r="I192" s="27"/>
      <c r="J192" s="31"/>
      <c r="K192" s="31"/>
      <c r="L192" s="27"/>
      <c r="N192" s="32" t="s">
        <v>292</v>
      </c>
    </row>
    <row r="193" spans="1:14" ht="10.5">
      <c r="A193" s="28">
        <v>5</v>
      </c>
      <c r="B193" s="7" t="s">
        <v>74</v>
      </c>
      <c r="C193" s="32" t="s">
        <v>287</v>
      </c>
      <c r="D193" s="35">
        <v>0</v>
      </c>
      <c r="F193" s="27">
        <f>ROUND(ТРАНСПРАСХОД(Определители!B6:B24,Определители!H6:H24,Определители!I6:I24,'Базовые цены с учетом расхода'!B6:B24,Начисления!Z6:Z24,Начисления!AA6:AA24),2)</f>
        <v>0</v>
      </c>
      <c r="G193" s="27"/>
      <c r="H193" s="27"/>
      <c r="I193" s="27"/>
      <c r="J193" s="31"/>
      <c r="K193" s="31"/>
      <c r="L193" s="27"/>
      <c r="N193" s="32" t="s">
        <v>293</v>
      </c>
    </row>
    <row r="194" spans="1:14" ht="10.5">
      <c r="A194" s="28">
        <v>6</v>
      </c>
      <c r="B194" s="7" t="s">
        <v>75</v>
      </c>
      <c r="C194" s="32" t="s">
        <v>287</v>
      </c>
      <c r="D194" s="35">
        <v>0</v>
      </c>
      <c r="F194" s="27">
        <f>ROUND(СУММПРОИЗВЕСЛИ(0.01,Определители!I6:I24," ",'Базовые цены с учетом расхода'!B6:B24,Начисления!AC6:AC24,0),2)</f>
        <v>0</v>
      </c>
      <c r="G194" s="27"/>
      <c r="H194" s="27"/>
      <c r="I194" s="27"/>
      <c r="J194" s="31"/>
      <c r="K194" s="31"/>
      <c r="L194" s="27"/>
      <c r="N194" s="32" t="s">
        <v>294</v>
      </c>
    </row>
    <row r="195" spans="1:14" ht="10.5">
      <c r="A195" s="28">
        <v>7</v>
      </c>
      <c r="B195" s="7" t="s">
        <v>76</v>
      </c>
      <c r="C195" s="32" t="s">
        <v>287</v>
      </c>
      <c r="D195" s="35">
        <v>0</v>
      </c>
      <c r="F195" s="27">
        <f>ROUND(СУММПРОИЗВЕСЛИ(0.01,Определители!I6:I24," ",'Базовые цены с учетом расхода'!B6:B24,Начисления!AF6:AF24,0),2)</f>
        <v>0</v>
      </c>
      <c r="G195" s="27"/>
      <c r="H195" s="27"/>
      <c r="I195" s="27"/>
      <c r="J195" s="31"/>
      <c r="K195" s="31"/>
      <c r="L195" s="27"/>
      <c r="N195" s="32" t="s">
        <v>295</v>
      </c>
    </row>
    <row r="196" spans="1:14" ht="10.5">
      <c r="A196" s="28">
        <v>8</v>
      </c>
      <c r="B196" s="7" t="s">
        <v>77</v>
      </c>
      <c r="C196" s="32" t="s">
        <v>287</v>
      </c>
      <c r="D196" s="35">
        <v>0</v>
      </c>
      <c r="F196" s="27">
        <f>ROUND(ЗАГОТСКЛАДРАСХОД(Определители!B6:B24,Определители!H6:H24,Определители!I6:I24,'Базовые цены с учетом расхода'!B6:B24,Начисления!X6:X24,Начисления!Y6:Y24,Начисления!Z6:Z24,Начисления!AA6:AA24,Начисления!AB6:AB24,Начисления!AC6:AC24,Начисления!AF6:AF24),2)</f>
        <v>0</v>
      </c>
      <c r="G196" s="27"/>
      <c r="H196" s="27"/>
      <c r="I196" s="27"/>
      <c r="J196" s="31"/>
      <c r="K196" s="31"/>
      <c r="L196" s="27"/>
      <c r="N196" s="32" t="s">
        <v>296</v>
      </c>
    </row>
    <row r="197" spans="1:14" ht="10.5">
      <c r="A197" s="28">
        <v>9</v>
      </c>
      <c r="B197" s="7" t="s">
        <v>78</v>
      </c>
      <c r="C197" s="32" t="s">
        <v>287</v>
      </c>
      <c r="D197" s="35">
        <v>0</v>
      </c>
      <c r="F197" s="27">
        <f>ROUND(СУММПРОИЗВЕСЛИ(1,Определители!I6:I24," ",'Базовые цены с учетом расхода'!M6:M24,Начисления!I6:I24,0),2)</f>
        <v>0</v>
      </c>
      <c r="G197" s="27"/>
      <c r="H197" s="27"/>
      <c r="I197" s="27"/>
      <c r="J197" s="31"/>
      <c r="K197" s="31"/>
      <c r="L197" s="27"/>
      <c r="N197" s="32" t="s">
        <v>297</v>
      </c>
    </row>
    <row r="198" spans="1:14" ht="10.5">
      <c r="A198" s="28">
        <v>10</v>
      </c>
      <c r="B198" s="7" t="s">
        <v>79</v>
      </c>
      <c r="C198" s="32" t="s">
        <v>288</v>
      </c>
      <c r="D198" s="35">
        <v>0</v>
      </c>
      <c r="F198" s="27">
        <f>ROUND((F197+F208+F228),2)</f>
        <v>0</v>
      </c>
      <c r="G198" s="27"/>
      <c r="H198" s="27"/>
      <c r="I198" s="27"/>
      <c r="J198" s="31"/>
      <c r="K198" s="31"/>
      <c r="L198" s="27"/>
      <c r="N198" s="32" t="s">
        <v>298</v>
      </c>
    </row>
    <row r="199" spans="1:14" ht="10.5">
      <c r="A199" s="28">
        <v>11</v>
      </c>
      <c r="B199" s="7" t="s">
        <v>80</v>
      </c>
      <c r="C199" s="32" t="s">
        <v>288</v>
      </c>
      <c r="D199" s="35">
        <v>0</v>
      </c>
      <c r="F199" s="27">
        <f>ROUND((F190+F191+F192+F193+F194+F195+F196+F198),2)</f>
        <v>0</v>
      </c>
      <c r="G199" s="27"/>
      <c r="H199" s="27"/>
      <c r="I199" s="27"/>
      <c r="J199" s="31"/>
      <c r="K199" s="31"/>
      <c r="L199" s="27"/>
      <c r="N199" s="32" t="s">
        <v>299</v>
      </c>
    </row>
    <row r="200" spans="1:14" ht="10.5">
      <c r="A200" s="28">
        <v>12</v>
      </c>
      <c r="B200" s="7" t="s">
        <v>81</v>
      </c>
      <c r="C200" s="32" t="s">
        <v>287</v>
      </c>
      <c r="D200" s="35">
        <v>0</v>
      </c>
      <c r="F200" s="27">
        <f>ROUND(SUMIF(Определители!I6:I24,"=1",'Базовые цены с учетом расхода'!B6:B24),2)</f>
        <v>0</v>
      </c>
      <c r="G200" s="27">
        <f>ROUND(SUMIF(Определители!I6:I24,"=1",'Базовые цены с учетом расхода'!C6:C24),2)</f>
        <v>0</v>
      </c>
      <c r="H200" s="27">
        <f>ROUND(SUMIF(Определители!I6:I24,"=1",'Базовые цены с учетом расхода'!D6:D24),2)</f>
        <v>0</v>
      </c>
      <c r="I200" s="27">
        <f>ROUND(SUMIF(Определители!I6:I24,"=1",'Базовые цены с учетом расхода'!E6:E24),2)</f>
        <v>0</v>
      </c>
      <c r="J200" s="31">
        <f>ROUND(SUMIF(Определители!I6:I24,"=1",'Базовые цены с учетом расхода'!I6:I24),8)</f>
        <v>0</v>
      </c>
      <c r="K200" s="31">
        <f>ROUND(SUMIF(Определители!I6:I24,"=1",'Базовые цены с учетом расхода'!K6:K24),8)</f>
        <v>0</v>
      </c>
      <c r="L200" s="27">
        <f>ROUND(SUMIF(Определители!I6:I24,"=1",'Базовые цены с учетом расхода'!F6:F24),2)</f>
        <v>0</v>
      </c>
      <c r="N200" s="32" t="s">
        <v>300</v>
      </c>
    </row>
    <row r="201" spans="1:14" ht="10.5">
      <c r="A201" s="28">
        <v>13</v>
      </c>
      <c r="B201" s="7" t="s">
        <v>82</v>
      </c>
      <c r="C201" s="32" t="s">
        <v>287</v>
      </c>
      <c r="D201" s="35">
        <v>0</v>
      </c>
      <c r="F201" s="27"/>
      <c r="G201" s="27"/>
      <c r="H201" s="27"/>
      <c r="I201" s="27"/>
      <c r="J201" s="31"/>
      <c r="K201" s="31"/>
      <c r="L201" s="27"/>
      <c r="N201" s="32" t="s">
        <v>301</v>
      </c>
    </row>
    <row r="202" spans="1:14" ht="10.5">
      <c r="A202" s="28">
        <v>14</v>
      </c>
      <c r="B202" s="7" t="s">
        <v>83</v>
      </c>
      <c r="C202" s="32" t="s">
        <v>287</v>
      </c>
      <c r="D202" s="35">
        <v>0</v>
      </c>
      <c r="F202" s="27"/>
      <c r="G202" s="27">
        <f>ROUND(SUMIF(Определители!I6:I24,"=1",'Базовые цены с учетом расхода'!T6:T24),2)</f>
        <v>0</v>
      </c>
      <c r="H202" s="27"/>
      <c r="I202" s="27"/>
      <c r="J202" s="31"/>
      <c r="K202" s="31"/>
      <c r="L202" s="27"/>
      <c r="N202" s="32" t="s">
        <v>302</v>
      </c>
    </row>
    <row r="203" spans="1:14" ht="10.5">
      <c r="A203" s="28">
        <v>15</v>
      </c>
      <c r="B203" s="7" t="s">
        <v>84</v>
      </c>
      <c r="C203" s="32" t="s">
        <v>287</v>
      </c>
      <c r="D203" s="35">
        <v>0</v>
      </c>
      <c r="F203" s="27">
        <f>ROUND(SUMIF(Определители!I6:I24,"=1",'Базовые цены с учетом расхода'!U6:U24),2)</f>
        <v>0</v>
      </c>
      <c r="G203" s="27"/>
      <c r="H203" s="27"/>
      <c r="I203" s="27"/>
      <c r="J203" s="31"/>
      <c r="K203" s="31"/>
      <c r="L203" s="27"/>
      <c r="N203" s="32" t="s">
        <v>303</v>
      </c>
    </row>
    <row r="204" spans="1:14" ht="10.5">
      <c r="A204" s="28">
        <v>16</v>
      </c>
      <c r="B204" s="7" t="s">
        <v>85</v>
      </c>
      <c r="C204" s="32" t="s">
        <v>287</v>
      </c>
      <c r="D204" s="35">
        <v>0</v>
      </c>
      <c r="F204" s="27">
        <f>ROUND(СУММЕСЛИ2(Определители!I6:I24,"1",Определители!G6:G24,"1",'Базовые цены с учетом расхода'!B6:B24),2)</f>
        <v>0</v>
      </c>
      <c r="G204" s="27"/>
      <c r="H204" s="27"/>
      <c r="I204" s="27"/>
      <c r="J204" s="31"/>
      <c r="K204" s="31"/>
      <c r="L204" s="27"/>
      <c r="N204" s="32" t="s">
        <v>304</v>
      </c>
    </row>
    <row r="205" spans="1:14" ht="10.5">
      <c r="A205" s="28">
        <v>17</v>
      </c>
      <c r="B205" s="7" t="s">
        <v>86</v>
      </c>
      <c r="C205" s="32" t="s">
        <v>287</v>
      </c>
      <c r="D205" s="35">
        <v>0</v>
      </c>
      <c r="F205" s="27">
        <f>ROUND(SUMIF(Определители!I6:I24,"=1",'Базовые цены с учетом расхода'!H6:H24),2)</f>
        <v>0</v>
      </c>
      <c r="G205" s="27"/>
      <c r="H205" s="27"/>
      <c r="I205" s="27"/>
      <c r="J205" s="31"/>
      <c r="K205" s="31"/>
      <c r="L205" s="27"/>
      <c r="N205" s="32" t="s">
        <v>305</v>
      </c>
    </row>
    <row r="206" spans="1:14" ht="10.5">
      <c r="A206" s="28">
        <v>18</v>
      </c>
      <c r="B206" s="7" t="s">
        <v>87</v>
      </c>
      <c r="C206" s="32" t="s">
        <v>287</v>
      </c>
      <c r="D206" s="35">
        <v>0</v>
      </c>
      <c r="F206" s="27">
        <f>ROUND(SUMIF(Определители!I6:I24,"=1",'Базовые цены с учетом расхода'!N6:N24),2)</f>
        <v>0</v>
      </c>
      <c r="G206" s="27"/>
      <c r="H206" s="27"/>
      <c r="I206" s="27"/>
      <c r="J206" s="31"/>
      <c r="K206" s="31"/>
      <c r="L206" s="27"/>
      <c r="N206" s="32" t="s">
        <v>306</v>
      </c>
    </row>
    <row r="207" spans="1:14" ht="10.5">
      <c r="A207" s="28">
        <v>19</v>
      </c>
      <c r="B207" s="7" t="s">
        <v>88</v>
      </c>
      <c r="C207" s="32" t="s">
        <v>287</v>
      </c>
      <c r="D207" s="35">
        <v>0</v>
      </c>
      <c r="F207" s="27">
        <f>ROUND(SUMIF(Определители!I6:I24,"=1",'Базовые цены с учетом расхода'!O6:O24),2)</f>
        <v>0</v>
      </c>
      <c r="G207" s="27"/>
      <c r="H207" s="27"/>
      <c r="I207" s="27"/>
      <c r="J207" s="31"/>
      <c r="K207" s="31"/>
      <c r="L207" s="27"/>
      <c r="N207" s="32" t="s">
        <v>307</v>
      </c>
    </row>
    <row r="208" spans="1:14" ht="10.5">
      <c r="A208" s="28">
        <v>20</v>
      </c>
      <c r="B208" s="7" t="s">
        <v>79</v>
      </c>
      <c r="C208" s="32" t="s">
        <v>287</v>
      </c>
      <c r="D208" s="35">
        <v>0</v>
      </c>
      <c r="F208" s="27">
        <f>ROUND(СУММПРОИЗВЕСЛИ(1,Определители!I6:I24," ",'Базовые цены с учетом расхода'!M6:M24,Начисления!I6:I24,0),2)</f>
        <v>0</v>
      </c>
      <c r="G208" s="27"/>
      <c r="H208" s="27"/>
      <c r="I208" s="27"/>
      <c r="J208" s="31"/>
      <c r="K208" s="31"/>
      <c r="L208" s="27"/>
      <c r="N208" s="32" t="s">
        <v>308</v>
      </c>
    </row>
    <row r="209" spans="1:14" ht="10.5">
      <c r="A209" s="28">
        <v>21</v>
      </c>
      <c r="B209" s="7" t="s">
        <v>89</v>
      </c>
      <c r="C209" s="32" t="s">
        <v>288</v>
      </c>
      <c r="D209" s="35">
        <v>0</v>
      </c>
      <c r="F209" s="27">
        <f>ROUND((F200+F206+F207),2)</f>
        <v>0</v>
      </c>
      <c r="G209" s="27"/>
      <c r="H209" s="27"/>
      <c r="I209" s="27"/>
      <c r="J209" s="31"/>
      <c r="K209" s="31"/>
      <c r="L209" s="27"/>
      <c r="N209" s="32" t="s">
        <v>309</v>
      </c>
    </row>
    <row r="210" spans="1:14" ht="10.5">
      <c r="A210" s="28">
        <v>22</v>
      </c>
      <c r="B210" s="7" t="s">
        <v>90</v>
      </c>
      <c r="C210" s="32" t="s">
        <v>287</v>
      </c>
      <c r="D210" s="35">
        <v>0</v>
      </c>
      <c r="F210" s="27">
        <f>ROUND(SUMIF(Определители!I6:I24,"=2",'Базовые цены с учетом расхода'!B6:B24),2)</f>
        <v>18291.17</v>
      </c>
      <c r="G210" s="27">
        <f>ROUND(SUMIF(Определители!I6:I24,"=2",'Базовые цены с учетом расхода'!C6:C24),2)</f>
        <v>2502.69</v>
      </c>
      <c r="H210" s="27">
        <f>ROUND(SUMIF(Определители!I6:I24,"=2",'Базовые цены с учетом расхода'!D6:D24),2)</f>
        <v>439.43</v>
      </c>
      <c r="I210" s="27">
        <f>ROUND(SUMIF(Определители!I6:I24,"=2",'Базовые цены с учетом расхода'!E6:E24),2)</f>
        <v>72.82</v>
      </c>
      <c r="J210" s="31">
        <f>ROUND(SUMIF(Определители!I6:I24,"=2",'Базовые цены с учетом расхода'!I6:I24),8)</f>
        <v>286.677975</v>
      </c>
      <c r="K210" s="31">
        <f>ROUND(SUMIF(Определители!I6:I24,"=2",'Базовые цены с учетом расхода'!K6:K24),8)</f>
        <v>6.369375</v>
      </c>
      <c r="L210" s="27">
        <f>ROUND(SUMIF(Определители!I6:I24,"=2",'Базовые цены с учетом расхода'!F6:F24),2)</f>
        <v>15349.05</v>
      </c>
      <c r="N210" s="32" t="s">
        <v>310</v>
      </c>
    </row>
    <row r="211" spans="1:14" ht="10.5">
      <c r="A211" s="28">
        <v>23</v>
      </c>
      <c r="B211" s="7" t="s">
        <v>82</v>
      </c>
      <c r="C211" s="32" t="s">
        <v>287</v>
      </c>
      <c r="D211" s="35">
        <v>0</v>
      </c>
      <c r="F211" s="27"/>
      <c r="G211" s="27"/>
      <c r="H211" s="27"/>
      <c r="I211" s="27"/>
      <c r="J211" s="31"/>
      <c r="K211" s="31"/>
      <c r="L211" s="27"/>
      <c r="N211" s="32" t="s">
        <v>311</v>
      </c>
    </row>
    <row r="212" spans="1:14" ht="10.5">
      <c r="A212" s="28">
        <v>24</v>
      </c>
      <c r="B212" s="7" t="s">
        <v>91</v>
      </c>
      <c r="C212" s="32" t="s">
        <v>287</v>
      </c>
      <c r="D212" s="35">
        <v>0</v>
      </c>
      <c r="F212" s="27">
        <f>ROUND(СУММЕСЛИ2(Определители!I6:I24,"2",Определители!G6:G24,"1",'Базовые цены с учетом расхода'!B6:B24),2)</f>
        <v>0</v>
      </c>
      <c r="G212" s="27"/>
      <c r="H212" s="27"/>
      <c r="I212" s="27"/>
      <c r="J212" s="31"/>
      <c r="K212" s="31"/>
      <c r="L212" s="27"/>
      <c r="N212" s="32" t="s">
        <v>312</v>
      </c>
    </row>
    <row r="213" spans="1:14" ht="10.5">
      <c r="A213" s="28">
        <v>25</v>
      </c>
      <c r="B213" s="7" t="s">
        <v>86</v>
      </c>
      <c r="C213" s="32" t="s">
        <v>287</v>
      </c>
      <c r="D213" s="35">
        <v>0</v>
      </c>
      <c r="F213" s="27">
        <f>ROUND(SUMIF(Определители!I6:I24,"=2",'Базовые цены с учетом расхода'!H6:H24),2)</f>
        <v>0</v>
      </c>
      <c r="G213" s="27"/>
      <c r="H213" s="27"/>
      <c r="I213" s="27"/>
      <c r="J213" s="31"/>
      <c r="K213" s="31"/>
      <c r="L213" s="27"/>
      <c r="N213" s="32" t="s">
        <v>313</v>
      </c>
    </row>
    <row r="214" spans="1:14" ht="10.5">
      <c r="A214" s="28">
        <v>26</v>
      </c>
      <c r="B214" s="7" t="s">
        <v>87</v>
      </c>
      <c r="C214" s="32" t="s">
        <v>287</v>
      </c>
      <c r="D214" s="35">
        <v>0</v>
      </c>
      <c r="F214" s="27">
        <f>ROUND(SUMIF(Определители!I6:I24,"=2",'Базовые цены с учетом расхода'!N6:N24),2)</f>
        <v>2806.38</v>
      </c>
      <c r="G214" s="27"/>
      <c r="H214" s="27"/>
      <c r="I214" s="27"/>
      <c r="J214" s="31"/>
      <c r="K214" s="31"/>
      <c r="L214" s="27"/>
      <c r="N214" s="32" t="s">
        <v>314</v>
      </c>
    </row>
    <row r="215" spans="1:14" ht="10.5">
      <c r="A215" s="28">
        <v>27</v>
      </c>
      <c r="B215" s="7" t="s">
        <v>88</v>
      </c>
      <c r="C215" s="32" t="s">
        <v>287</v>
      </c>
      <c r="D215" s="35">
        <v>0</v>
      </c>
      <c r="F215" s="27">
        <f>ROUND(SUMIF(Определители!I6:I24,"=2",'Базовые цены с учетом расхода'!O6:O24),2)</f>
        <v>1647.35</v>
      </c>
      <c r="G215" s="27"/>
      <c r="H215" s="27"/>
      <c r="I215" s="27"/>
      <c r="J215" s="31"/>
      <c r="K215" s="31"/>
      <c r="L215" s="27"/>
      <c r="N215" s="32" t="s">
        <v>315</v>
      </c>
    </row>
    <row r="216" spans="1:14" ht="10.5">
      <c r="A216" s="28">
        <v>28</v>
      </c>
      <c r="B216" s="7" t="s">
        <v>92</v>
      </c>
      <c r="C216" s="32" t="s">
        <v>288</v>
      </c>
      <c r="D216" s="35">
        <v>0</v>
      </c>
      <c r="F216" s="27">
        <f>ROUND((F210+F214+F215),2)</f>
        <v>22744.9</v>
      </c>
      <c r="G216" s="27"/>
      <c r="H216" s="27"/>
      <c r="I216" s="27"/>
      <c r="J216" s="31"/>
      <c r="K216" s="31"/>
      <c r="L216" s="27"/>
      <c r="N216" s="32" t="s">
        <v>316</v>
      </c>
    </row>
    <row r="217" spans="1:14" ht="10.5">
      <c r="A217" s="28">
        <v>29</v>
      </c>
      <c r="B217" s="7" t="s">
        <v>93</v>
      </c>
      <c r="C217" s="32" t="s">
        <v>287</v>
      </c>
      <c r="D217" s="35">
        <v>0</v>
      </c>
      <c r="F217" s="27">
        <f>ROUND(SUMIF(Определители!I6:I24,"=3",'Базовые цены с учетом расхода'!B6:B24),2)</f>
        <v>0</v>
      </c>
      <c r="G217" s="27">
        <f>ROUND(SUMIF(Определители!I6:I24,"=3",'Базовые цены с учетом расхода'!C6:C24),2)</f>
        <v>0</v>
      </c>
      <c r="H217" s="27">
        <f>ROUND(SUMIF(Определители!I6:I24,"=3",'Базовые цены с учетом расхода'!D6:D24),2)</f>
        <v>0</v>
      </c>
      <c r="I217" s="27">
        <f>ROUND(SUMIF(Определители!I6:I24,"=3",'Базовые цены с учетом расхода'!E6:E24),2)</f>
        <v>0</v>
      </c>
      <c r="J217" s="31">
        <f>ROUND(SUMIF(Определители!I6:I24,"=3",'Базовые цены с учетом расхода'!I6:I24),8)</f>
        <v>0</v>
      </c>
      <c r="K217" s="31">
        <f>ROUND(SUMIF(Определители!I6:I24,"=3",'Базовые цены с учетом расхода'!K6:K24),8)</f>
        <v>0</v>
      </c>
      <c r="L217" s="27">
        <f>ROUND(SUMIF(Определители!I6:I24,"=3",'Базовые цены с учетом расхода'!F6:F24),2)</f>
        <v>0</v>
      </c>
      <c r="N217" s="32" t="s">
        <v>317</v>
      </c>
    </row>
    <row r="218" spans="1:14" ht="10.5">
      <c r="A218" s="28">
        <v>30</v>
      </c>
      <c r="B218" s="7" t="s">
        <v>86</v>
      </c>
      <c r="C218" s="32" t="s">
        <v>287</v>
      </c>
      <c r="D218" s="35">
        <v>0</v>
      </c>
      <c r="F218" s="27">
        <f>ROUND(SUMIF(Определители!I6:I24,"=3",'Базовые цены с учетом расхода'!H6:H24),2)</f>
        <v>0</v>
      </c>
      <c r="G218" s="27"/>
      <c r="H218" s="27"/>
      <c r="I218" s="27"/>
      <c r="J218" s="31"/>
      <c r="K218" s="31"/>
      <c r="L218" s="27"/>
      <c r="N218" s="32" t="s">
        <v>318</v>
      </c>
    </row>
    <row r="219" spans="1:14" ht="10.5">
      <c r="A219" s="28">
        <v>31</v>
      </c>
      <c r="B219" s="7" t="s">
        <v>87</v>
      </c>
      <c r="C219" s="32" t="s">
        <v>287</v>
      </c>
      <c r="D219" s="35">
        <v>0</v>
      </c>
      <c r="F219" s="27">
        <f>ROUND(SUMIF(Определители!I6:I24,"=3",'Базовые цены с учетом расхода'!N6:N24),2)</f>
        <v>0</v>
      </c>
      <c r="G219" s="27"/>
      <c r="H219" s="27"/>
      <c r="I219" s="27"/>
      <c r="J219" s="31"/>
      <c r="K219" s="31"/>
      <c r="L219" s="27"/>
      <c r="N219" s="32" t="s">
        <v>319</v>
      </c>
    </row>
    <row r="220" spans="1:14" ht="10.5">
      <c r="A220" s="28">
        <v>32</v>
      </c>
      <c r="B220" s="7" t="s">
        <v>88</v>
      </c>
      <c r="C220" s="32" t="s">
        <v>287</v>
      </c>
      <c r="D220" s="35">
        <v>0</v>
      </c>
      <c r="F220" s="27">
        <f>ROUND(SUMIF(Определители!I6:I24,"=3",'Базовые цены с учетом расхода'!O6:O24),2)</f>
        <v>0</v>
      </c>
      <c r="G220" s="27"/>
      <c r="H220" s="27"/>
      <c r="I220" s="27"/>
      <c r="J220" s="31"/>
      <c r="K220" s="31"/>
      <c r="L220" s="27"/>
      <c r="N220" s="32" t="s">
        <v>320</v>
      </c>
    </row>
    <row r="221" spans="1:14" ht="10.5">
      <c r="A221" s="28">
        <v>33</v>
      </c>
      <c r="B221" s="7" t="s">
        <v>94</v>
      </c>
      <c r="C221" s="32" t="s">
        <v>288</v>
      </c>
      <c r="D221" s="35">
        <v>0</v>
      </c>
      <c r="F221" s="27">
        <f>ROUND((F217+F219+F220),2)</f>
        <v>0</v>
      </c>
      <c r="G221" s="27"/>
      <c r="H221" s="27"/>
      <c r="I221" s="27"/>
      <c r="J221" s="31"/>
      <c r="K221" s="31"/>
      <c r="L221" s="27"/>
      <c r="N221" s="32" t="s">
        <v>321</v>
      </c>
    </row>
    <row r="222" spans="1:14" ht="10.5">
      <c r="A222" s="28">
        <v>34</v>
      </c>
      <c r="B222" s="7" t="s">
        <v>95</v>
      </c>
      <c r="C222" s="32" t="s">
        <v>287</v>
      </c>
      <c r="D222" s="35">
        <v>0</v>
      </c>
      <c r="F222" s="27">
        <f>ROUND(SUMIF(Определители!I6:I24,"=4",'Базовые цены с учетом расхода'!B6:B24),2)</f>
        <v>0</v>
      </c>
      <c r="G222" s="27">
        <f>ROUND(SUMIF(Определители!I6:I24,"=4",'Базовые цены с учетом расхода'!C6:C24),2)</f>
        <v>0</v>
      </c>
      <c r="H222" s="27">
        <f>ROUND(SUMIF(Определители!I6:I24,"=4",'Базовые цены с учетом расхода'!D6:D24),2)</f>
        <v>0</v>
      </c>
      <c r="I222" s="27">
        <f>ROUND(SUMIF(Определители!I6:I24,"=4",'Базовые цены с учетом расхода'!E6:E24),2)</f>
        <v>0</v>
      </c>
      <c r="J222" s="31">
        <f>ROUND(SUMIF(Определители!I6:I24,"=4",'Базовые цены с учетом расхода'!I6:I24),8)</f>
        <v>0</v>
      </c>
      <c r="K222" s="31">
        <f>ROUND(SUMIF(Определители!I6:I24,"=4",'Базовые цены с учетом расхода'!K6:K24),8)</f>
        <v>0</v>
      </c>
      <c r="L222" s="27">
        <f>ROUND(SUMIF(Определители!I6:I24,"=4",'Базовые цены с учетом расхода'!F6:F24),2)</f>
        <v>0</v>
      </c>
      <c r="N222" s="32" t="s">
        <v>322</v>
      </c>
    </row>
    <row r="223" spans="1:14" ht="10.5">
      <c r="A223" s="28">
        <v>35</v>
      </c>
      <c r="B223" s="7" t="s">
        <v>82</v>
      </c>
      <c r="C223" s="32" t="s">
        <v>287</v>
      </c>
      <c r="D223" s="35">
        <v>0</v>
      </c>
      <c r="F223" s="27"/>
      <c r="G223" s="27"/>
      <c r="H223" s="27"/>
      <c r="I223" s="27"/>
      <c r="J223" s="31"/>
      <c r="K223" s="31"/>
      <c r="L223" s="27"/>
      <c r="N223" s="32" t="s">
        <v>323</v>
      </c>
    </row>
    <row r="224" spans="1:14" ht="10.5">
      <c r="A224" s="28">
        <v>36</v>
      </c>
      <c r="B224" s="7" t="s">
        <v>96</v>
      </c>
      <c r="C224" s="32" t="s">
        <v>287</v>
      </c>
      <c r="D224" s="35">
        <v>0</v>
      </c>
      <c r="F224" s="27">
        <f>ROUND(SUMIF(Определители!I6:I24,"=4",'Базовые цены с учетом расхода'!AJ6:AJ24),2)</f>
        <v>0</v>
      </c>
      <c r="G224" s="27">
        <f>ROUND(SUMIF(Определители!I6:I24,"=4",'Базовые цены с учетом расхода'!AI6:AI24),2)</f>
        <v>0</v>
      </c>
      <c r="H224" s="27">
        <f>ROUND(SUMIF(Определители!I6:I24,"=4",'Базовые цены с учетом расхода'!AH6:AH24),2)</f>
        <v>0</v>
      </c>
      <c r="I224" s="27">
        <f>ROUND(SUMIF(Определители!I6:I24,"=4",'Базовые цены с учетом расхода'!V6:V24),2)</f>
        <v>0</v>
      </c>
      <c r="J224" s="31"/>
      <c r="K224" s="31"/>
      <c r="L224" s="27"/>
      <c r="N224" s="32" t="s">
        <v>324</v>
      </c>
    </row>
    <row r="225" spans="1:14" ht="10.5">
      <c r="A225" s="28">
        <v>37</v>
      </c>
      <c r="B225" s="7" t="s">
        <v>86</v>
      </c>
      <c r="C225" s="32" t="s">
        <v>287</v>
      </c>
      <c r="D225" s="35">
        <v>0</v>
      </c>
      <c r="F225" s="27">
        <f>ROUND(SUMIF(Определители!I6:I24,"=4",'Базовые цены с учетом расхода'!H6:H24),2)</f>
        <v>0</v>
      </c>
      <c r="G225" s="27"/>
      <c r="H225" s="27"/>
      <c r="I225" s="27"/>
      <c r="J225" s="31"/>
      <c r="K225" s="31"/>
      <c r="L225" s="27"/>
      <c r="N225" s="32" t="s">
        <v>325</v>
      </c>
    </row>
    <row r="226" spans="1:14" ht="10.5">
      <c r="A226" s="28">
        <v>38</v>
      </c>
      <c r="B226" s="7" t="s">
        <v>87</v>
      </c>
      <c r="C226" s="32" t="s">
        <v>287</v>
      </c>
      <c r="D226" s="35">
        <v>0</v>
      </c>
      <c r="F226" s="27">
        <f>ROUND(SUMIF(Определители!I6:I24,"=4",'Базовые цены с учетом расхода'!N6:N24),2)</f>
        <v>0</v>
      </c>
      <c r="G226" s="27"/>
      <c r="H226" s="27"/>
      <c r="I226" s="27"/>
      <c r="J226" s="31"/>
      <c r="K226" s="31"/>
      <c r="L226" s="27"/>
      <c r="N226" s="32" t="s">
        <v>326</v>
      </c>
    </row>
    <row r="227" spans="1:14" ht="10.5">
      <c r="A227" s="28">
        <v>39</v>
      </c>
      <c r="B227" s="7" t="s">
        <v>88</v>
      </c>
      <c r="C227" s="32" t="s">
        <v>287</v>
      </c>
      <c r="D227" s="35">
        <v>0</v>
      </c>
      <c r="F227" s="27">
        <f>ROUND(SUMIF(Определители!I6:I24,"=4",'Базовые цены с учетом расхода'!O6:O24),2)</f>
        <v>0</v>
      </c>
      <c r="G227" s="27"/>
      <c r="H227" s="27"/>
      <c r="I227" s="27"/>
      <c r="J227" s="31"/>
      <c r="K227" s="31"/>
      <c r="L227" s="27"/>
      <c r="N227" s="32" t="s">
        <v>327</v>
      </c>
    </row>
    <row r="228" spans="1:14" ht="10.5">
      <c r="A228" s="28">
        <v>40</v>
      </c>
      <c r="B228" s="7" t="s">
        <v>79</v>
      </c>
      <c r="C228" s="32" t="s">
        <v>287</v>
      </c>
      <c r="D228" s="35">
        <v>0</v>
      </c>
      <c r="F228" s="27">
        <f>ROUND(СУММПРОИЗВЕСЛИ(1,Определители!I6:I24," ",'Базовые цены с учетом расхода'!M6:M24,Начисления!I6:I24,0),2)</f>
        <v>0</v>
      </c>
      <c r="G228" s="27"/>
      <c r="H228" s="27"/>
      <c r="I228" s="27"/>
      <c r="J228" s="31"/>
      <c r="K228" s="31"/>
      <c r="L228" s="27"/>
      <c r="N228" s="32" t="s">
        <v>328</v>
      </c>
    </row>
    <row r="229" spans="1:14" ht="10.5">
      <c r="A229" s="28">
        <v>41</v>
      </c>
      <c r="B229" s="7" t="s">
        <v>97</v>
      </c>
      <c r="C229" s="32" t="s">
        <v>288</v>
      </c>
      <c r="D229" s="35">
        <v>0</v>
      </c>
      <c r="F229" s="27">
        <f>ROUND((F222+F226+F227),2)</f>
        <v>0</v>
      </c>
      <c r="G229" s="27"/>
      <c r="H229" s="27"/>
      <c r="I229" s="27"/>
      <c r="J229" s="31"/>
      <c r="K229" s="31"/>
      <c r="L229" s="27"/>
      <c r="N229" s="32" t="s">
        <v>329</v>
      </c>
    </row>
    <row r="230" spans="1:14" ht="10.5">
      <c r="A230" s="28">
        <v>42</v>
      </c>
      <c r="B230" s="7" t="s">
        <v>98</v>
      </c>
      <c r="C230" s="32" t="s">
        <v>287</v>
      </c>
      <c r="D230" s="35">
        <v>0</v>
      </c>
      <c r="F230" s="27">
        <f>ROUND(SUMIF(Определители!I6:I24,"=5",'Базовые цены с учетом расхода'!B6:B24),2)</f>
        <v>0</v>
      </c>
      <c r="G230" s="27">
        <f>ROUND(SUMIF(Определители!I6:I24,"=5",'Базовые цены с учетом расхода'!C6:C24),2)</f>
        <v>0</v>
      </c>
      <c r="H230" s="27">
        <f>ROUND(SUMIF(Определители!I6:I24,"=5",'Базовые цены с учетом расхода'!D6:D24),2)</f>
        <v>0</v>
      </c>
      <c r="I230" s="27">
        <f>ROUND(SUMIF(Определители!I6:I24,"=5",'Базовые цены с учетом расхода'!E6:E24),2)</f>
        <v>0</v>
      </c>
      <c r="J230" s="31">
        <f>ROUND(SUMIF(Определители!I6:I24,"=5",'Базовые цены с учетом расхода'!I6:I24),8)</f>
        <v>0</v>
      </c>
      <c r="K230" s="31">
        <f>ROUND(SUMIF(Определители!I6:I24,"=5",'Базовые цены с учетом расхода'!K6:K24),8)</f>
        <v>0</v>
      </c>
      <c r="L230" s="27">
        <f>ROUND(SUMIF(Определители!I6:I24,"=5",'Базовые цены с учетом расхода'!F6:F24),2)</f>
        <v>0</v>
      </c>
      <c r="N230" s="32" t="s">
        <v>330</v>
      </c>
    </row>
    <row r="231" spans="1:14" ht="10.5">
      <c r="A231" s="28">
        <v>43</v>
      </c>
      <c r="B231" s="7" t="s">
        <v>86</v>
      </c>
      <c r="C231" s="32" t="s">
        <v>287</v>
      </c>
      <c r="D231" s="35">
        <v>0</v>
      </c>
      <c r="F231" s="27">
        <f>ROUND(SUMIF(Определители!I6:I24,"=5",'Базовые цены с учетом расхода'!H6:H24),2)</f>
        <v>0</v>
      </c>
      <c r="G231" s="27"/>
      <c r="H231" s="27"/>
      <c r="I231" s="27"/>
      <c r="J231" s="31"/>
      <c r="K231" s="31"/>
      <c r="L231" s="27"/>
      <c r="N231" s="32" t="s">
        <v>331</v>
      </c>
    </row>
    <row r="232" spans="1:14" ht="10.5">
      <c r="A232" s="28">
        <v>44</v>
      </c>
      <c r="B232" s="7" t="s">
        <v>87</v>
      </c>
      <c r="C232" s="32" t="s">
        <v>287</v>
      </c>
      <c r="D232" s="35">
        <v>0</v>
      </c>
      <c r="F232" s="27">
        <f>ROUND(SUMIF(Определители!I6:I24,"=5",'Базовые цены с учетом расхода'!N6:N24),2)</f>
        <v>0</v>
      </c>
      <c r="G232" s="27"/>
      <c r="H232" s="27"/>
      <c r="I232" s="27"/>
      <c r="J232" s="31"/>
      <c r="K232" s="31"/>
      <c r="L232" s="27"/>
      <c r="N232" s="32" t="s">
        <v>332</v>
      </c>
    </row>
    <row r="233" spans="1:14" ht="10.5">
      <c r="A233" s="28">
        <v>45</v>
      </c>
      <c r="B233" s="7" t="s">
        <v>88</v>
      </c>
      <c r="C233" s="32" t="s">
        <v>287</v>
      </c>
      <c r="D233" s="35">
        <v>0</v>
      </c>
      <c r="F233" s="27">
        <f>ROUND(SUMIF(Определители!I6:I24,"=5",'Базовые цены с учетом расхода'!O6:O24),2)</f>
        <v>0</v>
      </c>
      <c r="G233" s="27"/>
      <c r="H233" s="27"/>
      <c r="I233" s="27"/>
      <c r="J233" s="31"/>
      <c r="K233" s="31"/>
      <c r="L233" s="27"/>
      <c r="N233" s="32" t="s">
        <v>333</v>
      </c>
    </row>
    <row r="234" spans="1:14" ht="10.5">
      <c r="A234" s="28">
        <v>46</v>
      </c>
      <c r="B234" s="7" t="s">
        <v>99</v>
      </c>
      <c r="C234" s="32" t="s">
        <v>288</v>
      </c>
      <c r="D234" s="35">
        <v>0</v>
      </c>
      <c r="F234" s="27">
        <f>ROUND((F230+F232+F233),2)</f>
        <v>0</v>
      </c>
      <c r="G234" s="27"/>
      <c r="H234" s="27"/>
      <c r="I234" s="27"/>
      <c r="J234" s="31"/>
      <c r="K234" s="31"/>
      <c r="L234" s="27"/>
      <c r="N234" s="32" t="s">
        <v>334</v>
      </c>
    </row>
    <row r="235" spans="1:14" ht="10.5">
      <c r="A235" s="28">
        <v>47</v>
      </c>
      <c r="B235" s="7" t="s">
        <v>100</v>
      </c>
      <c r="C235" s="32" t="s">
        <v>287</v>
      </c>
      <c r="D235" s="35">
        <v>0</v>
      </c>
      <c r="F235" s="27">
        <f>ROUND(SUMIF(Определители!I6:I24,"=6",'Базовые цены с учетом расхода'!B6:B24),2)</f>
        <v>0</v>
      </c>
      <c r="G235" s="27">
        <f>ROUND(SUMIF(Определители!I6:I24,"=6",'Базовые цены с учетом расхода'!C6:C24),2)</f>
        <v>0</v>
      </c>
      <c r="H235" s="27">
        <f>ROUND(SUMIF(Определители!I6:I24,"=6",'Базовые цены с учетом расхода'!D6:D24),2)</f>
        <v>0</v>
      </c>
      <c r="I235" s="27">
        <f>ROUND(SUMIF(Определители!I6:I24,"=6",'Базовые цены с учетом расхода'!E6:E24),2)</f>
        <v>0</v>
      </c>
      <c r="J235" s="31">
        <f>ROUND(SUMIF(Определители!I6:I24,"=6",'Базовые цены с учетом расхода'!I6:I24),8)</f>
        <v>0</v>
      </c>
      <c r="K235" s="31">
        <f>ROUND(SUMIF(Определители!I6:I24,"=6",'Базовые цены с учетом расхода'!K6:K24),8)</f>
        <v>0</v>
      </c>
      <c r="L235" s="27">
        <f>ROUND(SUMIF(Определители!I6:I24,"=6",'Базовые цены с учетом расхода'!F6:F24),2)</f>
        <v>0</v>
      </c>
      <c r="N235" s="32" t="s">
        <v>335</v>
      </c>
    </row>
    <row r="236" spans="1:14" ht="10.5">
      <c r="A236" s="28">
        <v>48</v>
      </c>
      <c r="B236" s="7" t="s">
        <v>86</v>
      </c>
      <c r="C236" s="32" t="s">
        <v>287</v>
      </c>
      <c r="D236" s="35">
        <v>0</v>
      </c>
      <c r="F236" s="27">
        <f>ROUND(SUMIF(Определители!I6:I24,"=6",'Базовые цены с учетом расхода'!H6:H24),2)</f>
        <v>0</v>
      </c>
      <c r="G236" s="27"/>
      <c r="H236" s="27"/>
      <c r="I236" s="27"/>
      <c r="J236" s="31"/>
      <c r="K236" s="31"/>
      <c r="L236" s="27"/>
      <c r="N236" s="32" t="s">
        <v>336</v>
      </c>
    </row>
    <row r="237" spans="1:14" ht="10.5">
      <c r="A237" s="28">
        <v>49</v>
      </c>
      <c r="B237" s="7" t="s">
        <v>87</v>
      </c>
      <c r="C237" s="32" t="s">
        <v>287</v>
      </c>
      <c r="D237" s="35">
        <v>0</v>
      </c>
      <c r="F237" s="27">
        <f>ROUND(SUMIF(Определители!I6:I24,"=6",'Базовые цены с учетом расхода'!N6:N24),2)</f>
        <v>0</v>
      </c>
      <c r="G237" s="27"/>
      <c r="H237" s="27"/>
      <c r="I237" s="27"/>
      <c r="J237" s="31"/>
      <c r="K237" s="31"/>
      <c r="L237" s="27"/>
      <c r="N237" s="32" t="s">
        <v>337</v>
      </c>
    </row>
    <row r="238" spans="1:14" ht="10.5">
      <c r="A238" s="28">
        <v>50</v>
      </c>
      <c r="B238" s="7" t="s">
        <v>88</v>
      </c>
      <c r="C238" s="32" t="s">
        <v>287</v>
      </c>
      <c r="D238" s="35">
        <v>0</v>
      </c>
      <c r="F238" s="27">
        <f>ROUND(SUMIF(Определители!I6:I24,"=6",'Базовые цены с учетом расхода'!O6:O24),2)</f>
        <v>0</v>
      </c>
      <c r="G238" s="27"/>
      <c r="H238" s="27"/>
      <c r="I238" s="27"/>
      <c r="J238" s="31"/>
      <c r="K238" s="31"/>
      <c r="L238" s="27"/>
      <c r="N238" s="32" t="s">
        <v>338</v>
      </c>
    </row>
    <row r="239" spans="1:14" ht="10.5">
      <c r="A239" s="28">
        <v>51</v>
      </c>
      <c r="B239" s="7" t="s">
        <v>101</v>
      </c>
      <c r="C239" s="32" t="s">
        <v>288</v>
      </c>
      <c r="D239" s="35">
        <v>0</v>
      </c>
      <c r="F239" s="27">
        <f>ROUND((F235+F237+F238),2)</f>
        <v>0</v>
      </c>
      <c r="G239" s="27"/>
      <c r="H239" s="27"/>
      <c r="I239" s="27"/>
      <c r="J239" s="31"/>
      <c r="K239" s="31"/>
      <c r="L239" s="27"/>
      <c r="N239" s="32" t="s">
        <v>339</v>
      </c>
    </row>
    <row r="240" spans="1:14" ht="10.5">
      <c r="A240" s="28">
        <v>52</v>
      </c>
      <c r="B240" s="7" t="s">
        <v>102</v>
      </c>
      <c r="C240" s="32" t="s">
        <v>287</v>
      </c>
      <c r="D240" s="35">
        <v>0</v>
      </c>
      <c r="F240" s="27">
        <f>ROUND(SUMIF(Определители!I6:I24,"=7",'Базовые цены с учетом расхода'!B6:B24),2)</f>
        <v>0</v>
      </c>
      <c r="G240" s="27">
        <f>ROUND(SUMIF(Определители!I6:I24,"=7",'Базовые цены с учетом расхода'!C6:C24),2)</f>
        <v>0</v>
      </c>
      <c r="H240" s="27">
        <f>ROUND(SUMIF(Определители!I6:I24,"=7",'Базовые цены с учетом расхода'!D6:D24),2)</f>
        <v>0</v>
      </c>
      <c r="I240" s="27">
        <f>ROUND(SUMIF(Определители!I6:I24,"=7",'Базовые цены с учетом расхода'!E6:E24),2)</f>
        <v>0</v>
      </c>
      <c r="J240" s="31">
        <f>ROUND(SUMIF(Определители!I6:I24,"=7",'Базовые цены с учетом расхода'!I6:I24),8)</f>
        <v>0</v>
      </c>
      <c r="K240" s="31">
        <f>ROUND(SUMIF(Определители!I6:I24,"=7",'Базовые цены с учетом расхода'!K6:K24),8)</f>
        <v>0</v>
      </c>
      <c r="L240" s="27">
        <f>ROUND(SUMIF(Определители!I6:I24,"=7",'Базовые цены с учетом расхода'!F6:F24),2)</f>
        <v>0</v>
      </c>
      <c r="N240" s="32" t="s">
        <v>340</v>
      </c>
    </row>
    <row r="241" spans="1:14" ht="10.5">
      <c r="A241" s="28">
        <v>53</v>
      </c>
      <c r="B241" s="7" t="s">
        <v>82</v>
      </c>
      <c r="C241" s="32" t="s">
        <v>287</v>
      </c>
      <c r="D241" s="35">
        <v>0</v>
      </c>
      <c r="F241" s="27"/>
      <c r="G241" s="27"/>
      <c r="H241" s="27"/>
      <c r="I241" s="27"/>
      <c r="J241" s="31"/>
      <c r="K241" s="31"/>
      <c r="L241" s="27"/>
      <c r="N241" s="32" t="s">
        <v>341</v>
      </c>
    </row>
    <row r="242" spans="1:14" ht="10.5">
      <c r="A242" s="28">
        <v>54</v>
      </c>
      <c r="B242" s="7" t="s">
        <v>91</v>
      </c>
      <c r="C242" s="32" t="s">
        <v>287</v>
      </c>
      <c r="D242" s="35">
        <v>0</v>
      </c>
      <c r="F242" s="27">
        <f>ROUND(СУММЕСЛИ2(Определители!I6:I24,"2",Определители!G6:G24,"1",'Базовые цены с учетом расхода'!B6:B24),2)</f>
        <v>0</v>
      </c>
      <c r="G242" s="27"/>
      <c r="H242" s="27"/>
      <c r="I242" s="27"/>
      <c r="J242" s="31"/>
      <c r="K242" s="31"/>
      <c r="L242" s="27"/>
      <c r="N242" s="32" t="s">
        <v>342</v>
      </c>
    </row>
    <row r="243" spans="1:14" ht="10.5">
      <c r="A243" s="28">
        <v>55</v>
      </c>
      <c r="B243" s="7" t="s">
        <v>86</v>
      </c>
      <c r="C243" s="32" t="s">
        <v>287</v>
      </c>
      <c r="D243" s="35">
        <v>0</v>
      </c>
      <c r="F243" s="27">
        <f>ROUND(SUMIF(Определители!I6:I24,"=7",'Базовые цены с учетом расхода'!H6:H24),2)</f>
        <v>0</v>
      </c>
      <c r="G243" s="27"/>
      <c r="H243" s="27"/>
      <c r="I243" s="27"/>
      <c r="J243" s="31"/>
      <c r="K243" s="31"/>
      <c r="L243" s="27"/>
      <c r="N243" s="32" t="s">
        <v>343</v>
      </c>
    </row>
    <row r="244" spans="1:14" ht="10.5">
      <c r="A244" s="28">
        <v>56</v>
      </c>
      <c r="B244" s="7" t="s">
        <v>87</v>
      </c>
      <c r="C244" s="32" t="s">
        <v>287</v>
      </c>
      <c r="D244" s="35">
        <v>0</v>
      </c>
      <c r="F244" s="27">
        <f>ROUND(SUMIF(Определители!I6:I24,"=7",'Базовые цены с учетом расхода'!N6:N24),2)</f>
        <v>0</v>
      </c>
      <c r="G244" s="27"/>
      <c r="H244" s="27"/>
      <c r="I244" s="27"/>
      <c r="J244" s="31"/>
      <c r="K244" s="31"/>
      <c r="L244" s="27"/>
      <c r="N244" s="32" t="s">
        <v>344</v>
      </c>
    </row>
    <row r="245" spans="1:14" ht="10.5">
      <c r="A245" s="28">
        <v>57</v>
      </c>
      <c r="B245" s="7" t="s">
        <v>88</v>
      </c>
      <c r="C245" s="32" t="s">
        <v>287</v>
      </c>
      <c r="D245" s="35">
        <v>0</v>
      </c>
      <c r="F245" s="27">
        <f>ROUND(SUMIF(Определители!I6:I24,"=7",'Базовые цены с учетом расхода'!O6:O24),2)</f>
        <v>0</v>
      </c>
      <c r="G245" s="27"/>
      <c r="H245" s="27"/>
      <c r="I245" s="27"/>
      <c r="J245" s="31"/>
      <c r="K245" s="31"/>
      <c r="L245" s="27"/>
      <c r="N245" s="32" t="s">
        <v>345</v>
      </c>
    </row>
    <row r="246" spans="1:14" ht="10.5">
      <c r="A246" s="28">
        <v>58</v>
      </c>
      <c r="B246" s="7" t="s">
        <v>103</v>
      </c>
      <c r="C246" s="32" t="s">
        <v>288</v>
      </c>
      <c r="D246" s="35">
        <v>0</v>
      </c>
      <c r="F246" s="27">
        <f>ROUND((F240+F244+F245),2)</f>
        <v>0</v>
      </c>
      <c r="G246" s="27"/>
      <c r="H246" s="27"/>
      <c r="I246" s="27"/>
      <c r="J246" s="31"/>
      <c r="K246" s="31"/>
      <c r="L246" s="27"/>
      <c r="N246" s="32" t="s">
        <v>346</v>
      </c>
    </row>
    <row r="247" spans="1:14" ht="10.5">
      <c r="A247" s="28">
        <v>59</v>
      </c>
      <c r="B247" s="7" t="s">
        <v>104</v>
      </c>
      <c r="C247" s="32" t="s">
        <v>287</v>
      </c>
      <c r="D247" s="35">
        <v>0</v>
      </c>
      <c r="F247" s="27">
        <f>ROUND(SUMIF(Определители!I6:I24,"=;",'Базовые цены с учетом расхода'!B6:B24),2)</f>
        <v>0</v>
      </c>
      <c r="G247" s="27">
        <f>ROUND(SUMIF(Определители!I6:I24,"=;",'Базовые цены с учетом расхода'!C6:C24),2)</f>
        <v>0</v>
      </c>
      <c r="H247" s="27">
        <f>ROUND(SUMIF(Определители!I6:I24,"=;",'Базовые цены с учетом расхода'!D6:D24),2)</f>
        <v>0</v>
      </c>
      <c r="I247" s="27">
        <f>ROUND(SUMIF(Определители!I6:I24,"=;",'Базовые цены с учетом расхода'!E6:E24),2)</f>
        <v>0</v>
      </c>
      <c r="J247" s="31">
        <f>ROUND(SUMIF(Определители!I6:I24,"=;",'Базовые цены с учетом расхода'!I6:I24),8)</f>
        <v>0</v>
      </c>
      <c r="K247" s="31">
        <f>ROUND(SUMIF(Определители!I6:I24,"=;",'Базовые цены с учетом расхода'!K6:K24),8)</f>
        <v>0</v>
      </c>
      <c r="L247" s="27">
        <f>ROUND(SUMIF(Определители!I6:I24,"=;",'Базовые цены с учетом расхода'!F6:F24),2)</f>
        <v>0</v>
      </c>
      <c r="N247" s="32" t="s">
        <v>347</v>
      </c>
    </row>
    <row r="248" spans="1:14" ht="10.5">
      <c r="A248" s="28">
        <v>60</v>
      </c>
      <c r="B248" s="7" t="s">
        <v>105</v>
      </c>
      <c r="C248" s="32" t="s">
        <v>287</v>
      </c>
      <c r="D248" s="35">
        <v>0</v>
      </c>
      <c r="F248" s="27">
        <f>ROUND(SUMIF(Определители!I6:I24,"=;",'Базовые цены с учетом расхода'!AF6:AF24),2)</f>
        <v>0</v>
      </c>
      <c r="G248" s="27"/>
      <c r="H248" s="27"/>
      <c r="I248" s="27"/>
      <c r="J248" s="31"/>
      <c r="K248" s="31"/>
      <c r="L248" s="27"/>
      <c r="N248" s="32" t="s">
        <v>348</v>
      </c>
    </row>
    <row r="249" spans="1:14" ht="10.5">
      <c r="A249" s="28">
        <v>61</v>
      </c>
      <c r="B249" s="7" t="s">
        <v>106</v>
      </c>
      <c r="C249" s="32" t="s">
        <v>287</v>
      </c>
      <c r="D249" s="35">
        <v>0</v>
      </c>
      <c r="F249" s="27">
        <f>ROUND(SUMIF(Определители!I6:I24,"=;",'Базовые цены с учетом расхода'!AG6:AG24),2)</f>
        <v>0</v>
      </c>
      <c r="G249" s="27"/>
      <c r="H249" s="27"/>
      <c r="I249" s="27"/>
      <c r="J249" s="31"/>
      <c r="K249" s="31"/>
      <c r="L249" s="27"/>
      <c r="N249" s="32" t="s">
        <v>349</v>
      </c>
    </row>
    <row r="250" spans="1:14" ht="10.5">
      <c r="A250" s="28">
        <v>62</v>
      </c>
      <c r="B250" s="7" t="s">
        <v>87</v>
      </c>
      <c r="C250" s="32" t="s">
        <v>287</v>
      </c>
      <c r="D250" s="35">
        <v>0</v>
      </c>
      <c r="F250" s="27">
        <f>ROUND(SUMIF(Определители!I6:I24,"=;",'Базовые цены с учетом расхода'!N6:N24),2)</f>
        <v>0</v>
      </c>
      <c r="G250" s="27"/>
      <c r="H250" s="27"/>
      <c r="I250" s="27"/>
      <c r="J250" s="31"/>
      <c r="K250" s="31"/>
      <c r="L250" s="27"/>
      <c r="N250" s="32" t="s">
        <v>350</v>
      </c>
    </row>
    <row r="251" spans="1:14" ht="10.5">
      <c r="A251" s="28">
        <v>63</v>
      </c>
      <c r="B251" s="7" t="s">
        <v>88</v>
      </c>
      <c r="C251" s="32" t="s">
        <v>287</v>
      </c>
      <c r="D251" s="35">
        <v>0</v>
      </c>
      <c r="F251" s="27">
        <f>ROUND(SUMIF(Определители!I6:I24,"=;",'Базовые цены с учетом расхода'!O6:O24),2)</f>
        <v>0</v>
      </c>
      <c r="G251" s="27"/>
      <c r="H251" s="27"/>
      <c r="I251" s="27"/>
      <c r="J251" s="31"/>
      <c r="K251" s="31"/>
      <c r="L251" s="27"/>
      <c r="N251" s="32" t="s">
        <v>351</v>
      </c>
    </row>
    <row r="252" spans="1:14" ht="10.5">
      <c r="A252" s="28">
        <v>64</v>
      </c>
      <c r="B252" s="7" t="s">
        <v>107</v>
      </c>
      <c r="C252" s="32" t="s">
        <v>288</v>
      </c>
      <c r="D252" s="35">
        <v>0</v>
      </c>
      <c r="F252" s="27">
        <f>ROUND((F247+F250+F251),2)</f>
        <v>0</v>
      </c>
      <c r="G252" s="27"/>
      <c r="H252" s="27"/>
      <c r="I252" s="27"/>
      <c r="J252" s="31"/>
      <c r="K252" s="31"/>
      <c r="L252" s="27"/>
      <c r="N252" s="32" t="s">
        <v>352</v>
      </c>
    </row>
    <row r="253" spans="1:14" ht="10.5">
      <c r="A253" s="28">
        <v>65</v>
      </c>
      <c r="B253" s="7" t="s">
        <v>108</v>
      </c>
      <c r="C253" s="32" t="s">
        <v>287</v>
      </c>
      <c r="D253" s="35">
        <v>0</v>
      </c>
      <c r="F253" s="27">
        <f>ROUND(SUMIF(Определители!I6:I24,"=9",'Базовые цены с учетом расхода'!B6:B24),2)</f>
        <v>0</v>
      </c>
      <c r="G253" s="27">
        <f>ROUND(SUMIF(Определители!I6:I24,"=9",'Базовые цены с учетом расхода'!C6:C24),2)</f>
        <v>0</v>
      </c>
      <c r="H253" s="27">
        <f>ROUND(SUMIF(Определители!I6:I24,"=9",'Базовые цены с учетом расхода'!D6:D24),2)</f>
        <v>0</v>
      </c>
      <c r="I253" s="27">
        <f>ROUND(SUMIF(Определители!I6:I24,"=9",'Базовые цены с учетом расхода'!E6:E24),2)</f>
        <v>0</v>
      </c>
      <c r="J253" s="31">
        <f>ROUND(SUMIF(Определители!I6:I24,"=9",'Базовые цены с учетом расхода'!I6:I24),8)</f>
        <v>0</v>
      </c>
      <c r="K253" s="31">
        <f>ROUND(SUMIF(Определители!I6:I24,"=9",'Базовые цены с учетом расхода'!K6:K24),8)</f>
        <v>0</v>
      </c>
      <c r="L253" s="27">
        <f>ROUND(SUMIF(Определители!I6:I24,"=9",'Базовые цены с учетом расхода'!F6:F24),2)</f>
        <v>0</v>
      </c>
      <c r="N253" s="32" t="s">
        <v>353</v>
      </c>
    </row>
    <row r="254" spans="1:14" ht="10.5">
      <c r="A254" s="28">
        <v>66</v>
      </c>
      <c r="B254" s="7" t="s">
        <v>87</v>
      </c>
      <c r="C254" s="32" t="s">
        <v>287</v>
      </c>
      <c r="D254" s="35">
        <v>0</v>
      </c>
      <c r="F254" s="27">
        <f>ROUND(SUMIF(Определители!I6:I24,"=9",'Базовые цены с учетом расхода'!N6:N24),2)</f>
        <v>0</v>
      </c>
      <c r="G254" s="27"/>
      <c r="H254" s="27"/>
      <c r="I254" s="27"/>
      <c r="J254" s="31"/>
      <c r="K254" s="31"/>
      <c r="L254" s="27"/>
      <c r="N254" s="32" t="s">
        <v>354</v>
      </c>
    </row>
    <row r="255" spans="1:14" ht="10.5">
      <c r="A255" s="28">
        <v>67</v>
      </c>
      <c r="B255" s="7" t="s">
        <v>88</v>
      </c>
      <c r="C255" s="32" t="s">
        <v>287</v>
      </c>
      <c r="D255" s="35">
        <v>0</v>
      </c>
      <c r="F255" s="27">
        <f>ROUND(SUMIF(Определители!I6:I24,"=9",'Базовые цены с учетом расхода'!O6:O24),2)</f>
        <v>0</v>
      </c>
      <c r="G255" s="27"/>
      <c r="H255" s="27"/>
      <c r="I255" s="27"/>
      <c r="J255" s="31"/>
      <c r="K255" s="31"/>
      <c r="L255" s="27"/>
      <c r="N255" s="32" t="s">
        <v>355</v>
      </c>
    </row>
    <row r="256" spans="1:14" ht="10.5">
      <c r="A256" s="28">
        <v>68</v>
      </c>
      <c r="B256" s="7" t="s">
        <v>109</v>
      </c>
      <c r="C256" s="32" t="s">
        <v>288</v>
      </c>
      <c r="D256" s="35">
        <v>0</v>
      </c>
      <c r="F256" s="27">
        <f>ROUND((F253+F254+F255),2)</f>
        <v>0</v>
      </c>
      <c r="G256" s="27"/>
      <c r="H256" s="27"/>
      <c r="I256" s="27"/>
      <c r="J256" s="31"/>
      <c r="K256" s="31"/>
      <c r="L256" s="27"/>
      <c r="N256" s="32" t="s">
        <v>356</v>
      </c>
    </row>
    <row r="257" spans="1:14" ht="10.5">
      <c r="A257" s="28">
        <v>69</v>
      </c>
      <c r="B257" s="7" t="s">
        <v>110</v>
      </c>
      <c r="C257" s="32" t="s">
        <v>287</v>
      </c>
      <c r="D257" s="35">
        <v>0</v>
      </c>
      <c r="F257" s="27">
        <f>ROUND(SUMIF(Определители!I6:I24,"=:",'Базовые цены с учетом расхода'!B6:B24),2)</f>
        <v>0</v>
      </c>
      <c r="G257" s="27">
        <f>ROUND(SUMIF(Определители!I6:I24,"=:",'Базовые цены с учетом расхода'!C6:C24),2)</f>
        <v>0</v>
      </c>
      <c r="H257" s="27">
        <f>ROUND(SUMIF(Определители!I6:I24,"=:",'Базовые цены с учетом расхода'!D6:D24),2)</f>
        <v>0</v>
      </c>
      <c r="I257" s="27">
        <f>ROUND(SUMIF(Определители!I6:I24,"=:",'Базовые цены с учетом расхода'!E6:E24),2)</f>
        <v>0</v>
      </c>
      <c r="J257" s="31">
        <f>ROUND(SUMIF(Определители!I6:I24,"=:",'Базовые цены с учетом расхода'!I6:I24),8)</f>
        <v>0</v>
      </c>
      <c r="K257" s="31">
        <f>ROUND(SUMIF(Определители!I6:I24,"=:",'Базовые цены с учетом расхода'!K6:K24),8)</f>
        <v>0</v>
      </c>
      <c r="L257" s="27">
        <f>ROUND(SUMIF(Определители!I6:I24,"=:",'Базовые цены с учетом расхода'!F6:F24),2)</f>
        <v>0</v>
      </c>
      <c r="N257" s="32" t="s">
        <v>357</v>
      </c>
    </row>
    <row r="258" spans="1:14" ht="10.5">
      <c r="A258" s="28">
        <v>70</v>
      </c>
      <c r="B258" s="7" t="s">
        <v>86</v>
      </c>
      <c r="C258" s="32" t="s">
        <v>287</v>
      </c>
      <c r="D258" s="35">
        <v>0</v>
      </c>
      <c r="F258" s="27">
        <f>ROUND(SUMIF(Определители!I6:I24,"=:",'Базовые цены с учетом расхода'!H6:H24),2)</f>
        <v>0</v>
      </c>
      <c r="G258" s="27"/>
      <c r="H258" s="27"/>
      <c r="I258" s="27"/>
      <c r="J258" s="31"/>
      <c r="K258" s="31"/>
      <c r="L258" s="27"/>
      <c r="N258" s="32" t="s">
        <v>358</v>
      </c>
    </row>
    <row r="259" spans="1:14" ht="10.5">
      <c r="A259" s="28">
        <v>71</v>
      </c>
      <c r="B259" s="7" t="s">
        <v>87</v>
      </c>
      <c r="C259" s="32" t="s">
        <v>287</v>
      </c>
      <c r="D259" s="35">
        <v>0</v>
      </c>
      <c r="F259" s="27">
        <f>ROUND(SUMIF(Определители!I6:I24,"=:",'Базовые цены с учетом расхода'!N6:N24),2)</f>
        <v>0</v>
      </c>
      <c r="G259" s="27"/>
      <c r="H259" s="27"/>
      <c r="I259" s="27"/>
      <c r="J259" s="31"/>
      <c r="K259" s="31"/>
      <c r="L259" s="27"/>
      <c r="N259" s="32" t="s">
        <v>359</v>
      </c>
    </row>
    <row r="260" spans="1:14" ht="10.5">
      <c r="A260" s="28">
        <v>72</v>
      </c>
      <c r="B260" s="7" t="s">
        <v>88</v>
      </c>
      <c r="C260" s="32" t="s">
        <v>287</v>
      </c>
      <c r="D260" s="35">
        <v>0</v>
      </c>
      <c r="F260" s="27">
        <f>ROUND(SUMIF(Определители!I6:I24,"=:",'Базовые цены с учетом расхода'!O6:O24),2)</f>
        <v>0</v>
      </c>
      <c r="G260" s="27"/>
      <c r="H260" s="27"/>
      <c r="I260" s="27"/>
      <c r="J260" s="31"/>
      <c r="K260" s="31"/>
      <c r="L260" s="27"/>
      <c r="N260" s="32" t="s">
        <v>360</v>
      </c>
    </row>
    <row r="261" spans="1:14" ht="10.5">
      <c r="A261" s="28">
        <v>73</v>
      </c>
      <c r="B261" s="7" t="s">
        <v>111</v>
      </c>
      <c r="C261" s="32" t="s">
        <v>288</v>
      </c>
      <c r="D261" s="35">
        <v>0</v>
      </c>
      <c r="F261" s="27">
        <f>ROUND((F257+F259+F260),2)</f>
        <v>0</v>
      </c>
      <c r="G261" s="27"/>
      <c r="H261" s="27"/>
      <c r="I261" s="27"/>
      <c r="J261" s="31"/>
      <c r="K261" s="31"/>
      <c r="L261" s="27"/>
      <c r="N261" s="32" t="s">
        <v>361</v>
      </c>
    </row>
    <row r="262" spans="1:14" ht="10.5">
      <c r="A262" s="28">
        <v>74</v>
      </c>
      <c r="B262" s="7" t="s">
        <v>112</v>
      </c>
      <c r="C262" s="32" t="s">
        <v>287</v>
      </c>
      <c r="D262" s="35">
        <v>0</v>
      </c>
      <c r="F262" s="27">
        <f>ROUND(SUMIF(Определители!I6:I24,"=8",'Базовые цены с учетом расхода'!B6:B24),2)</f>
        <v>0</v>
      </c>
      <c r="G262" s="27">
        <f>ROUND(SUMIF(Определители!I6:I24,"=8",'Базовые цены с учетом расхода'!C6:C24),2)</f>
        <v>0</v>
      </c>
      <c r="H262" s="27">
        <f>ROUND(SUMIF(Определители!I6:I24,"=8",'Базовые цены с учетом расхода'!D6:D24),2)</f>
        <v>0</v>
      </c>
      <c r="I262" s="27">
        <f>ROUND(SUMIF(Определители!I6:I24,"=8",'Базовые цены с учетом расхода'!E6:E24),2)</f>
        <v>0</v>
      </c>
      <c r="J262" s="31">
        <f>ROUND(SUMIF(Определители!I6:I24,"=8",'Базовые цены с учетом расхода'!I6:I24),8)</f>
        <v>0</v>
      </c>
      <c r="K262" s="31">
        <f>ROUND(SUMIF(Определители!I6:I24,"=8",'Базовые цены с учетом расхода'!K6:K24),8)</f>
        <v>0</v>
      </c>
      <c r="L262" s="27">
        <f>ROUND(SUMIF(Определители!I6:I24,"=8",'Базовые цены с учетом расхода'!F6:F24),2)</f>
        <v>0</v>
      </c>
      <c r="N262" s="32" t="s">
        <v>362</v>
      </c>
    </row>
    <row r="263" spans="1:14" ht="10.5">
      <c r="A263" s="28">
        <v>75</v>
      </c>
      <c r="B263" s="7" t="s">
        <v>86</v>
      </c>
      <c r="C263" s="32" t="s">
        <v>287</v>
      </c>
      <c r="D263" s="35">
        <v>0</v>
      </c>
      <c r="F263" s="27">
        <f>ROUND(SUMIF(Определители!I6:I24,"=8",'Базовые цены с учетом расхода'!H6:H24),2)</f>
        <v>0</v>
      </c>
      <c r="G263" s="27"/>
      <c r="H263" s="27"/>
      <c r="I263" s="27"/>
      <c r="J263" s="31"/>
      <c r="K263" s="31"/>
      <c r="L263" s="27"/>
      <c r="N263" s="32" t="s">
        <v>363</v>
      </c>
    </row>
    <row r="264" spans="1:14" ht="10.5">
      <c r="A264" s="28">
        <v>76</v>
      </c>
      <c r="B264" s="7" t="s">
        <v>171</v>
      </c>
      <c r="C264" s="32" t="s">
        <v>288</v>
      </c>
      <c r="D264" s="35">
        <v>0</v>
      </c>
      <c r="F264" s="27">
        <f>ROUND((F199+F209+F216+F221+F229+F234+F239+F246+F256+F261+F262+F252),2)</f>
        <v>22744.9</v>
      </c>
      <c r="G264" s="27">
        <f>ROUND((G199+G209+G216+G221+G229+G234+G239+G246+G256+G261+G262+G252),2)</f>
        <v>0</v>
      </c>
      <c r="H264" s="27">
        <f>ROUND((H199+H209+H216+H221+H229+H234+H239+H246+H256+H261+H262+H252),2)</f>
        <v>0</v>
      </c>
      <c r="I264" s="27">
        <f>ROUND((I199+I209+I216+I221+I229+I234+I239+I246+I256+I261+I262+I252),2)</f>
        <v>0</v>
      </c>
      <c r="J264" s="31">
        <f>ROUND((J199+J209+J216+J221+J229+J234+J239+J246+J256+J261+J262+J252),8)</f>
        <v>0</v>
      </c>
      <c r="K264" s="31">
        <f>ROUND((K199+K209+K216+K221+K229+K234+K239+K246+K256+K261+K262+K252),8)</f>
        <v>0</v>
      </c>
      <c r="L264" s="27">
        <f>ROUND((L199+L209+L216+L221+L229+L234+L239+L246+L256+L261+L262+L252),2)</f>
        <v>0</v>
      </c>
      <c r="N264" s="32" t="s">
        <v>364</v>
      </c>
    </row>
    <row r="265" spans="1:14" ht="10.5">
      <c r="A265" s="28">
        <v>77</v>
      </c>
      <c r="B265" s="7" t="s">
        <v>113</v>
      </c>
      <c r="C265" s="32" t="s">
        <v>288</v>
      </c>
      <c r="D265" s="35">
        <v>0</v>
      </c>
      <c r="F265" s="27">
        <f>ROUND((F205+F213+F218+F225+F231+F236+F243+F258+F263),2)</f>
        <v>0</v>
      </c>
      <c r="G265" s="27"/>
      <c r="H265" s="27"/>
      <c r="I265" s="27"/>
      <c r="J265" s="31"/>
      <c r="K265" s="31"/>
      <c r="L265" s="27"/>
      <c r="N265" s="32" t="s">
        <v>365</v>
      </c>
    </row>
    <row r="266" spans="1:14" ht="10.5">
      <c r="A266" s="28">
        <v>78</v>
      </c>
      <c r="B266" s="7" t="s">
        <v>114</v>
      </c>
      <c r="C266" s="32" t="s">
        <v>288</v>
      </c>
      <c r="D266" s="35">
        <v>0</v>
      </c>
      <c r="F266" s="27">
        <f>ROUND((F206+F214+F219+F226+F232+F237+F244+F254+F259+F250),2)</f>
        <v>2806.38</v>
      </c>
      <c r="G266" s="27"/>
      <c r="H266" s="27"/>
      <c r="I266" s="27"/>
      <c r="J266" s="31"/>
      <c r="K266" s="31"/>
      <c r="L266" s="27"/>
      <c r="N266" s="32" t="s">
        <v>366</v>
      </c>
    </row>
    <row r="267" spans="1:14" ht="10.5">
      <c r="A267" s="28">
        <v>79</v>
      </c>
      <c r="B267" s="7" t="s">
        <v>115</v>
      </c>
      <c r="C267" s="32" t="s">
        <v>288</v>
      </c>
      <c r="D267" s="35">
        <v>0</v>
      </c>
      <c r="F267" s="27">
        <f>ROUND((F207+F215+F220+F227+F233+F238+F245+F255+F260+F251),2)</f>
        <v>1647.35</v>
      </c>
      <c r="G267" s="27"/>
      <c r="H267" s="27"/>
      <c r="I267" s="27"/>
      <c r="J267" s="31"/>
      <c r="K267" s="31"/>
      <c r="L267" s="27"/>
      <c r="N267" s="32" t="s">
        <v>367</v>
      </c>
    </row>
    <row r="268" spans="1:14" ht="10.5">
      <c r="A268" s="28">
        <v>80</v>
      </c>
      <c r="B268" s="7" t="s">
        <v>38</v>
      </c>
      <c r="C268" s="32" t="s">
        <v>289</v>
      </c>
      <c r="D268" s="35">
        <v>0</v>
      </c>
      <c r="F268" s="27">
        <f>ROUND(SUM('Базовые цены с учетом расхода'!X6:X24),2)</f>
        <v>0</v>
      </c>
      <c r="G268" s="27"/>
      <c r="H268" s="27"/>
      <c r="I268" s="27"/>
      <c r="J268" s="31"/>
      <c r="K268" s="31"/>
      <c r="L268" s="27">
        <f>ROUND(SUM('Базовые цены с учетом расхода'!X6:X24),2)</f>
        <v>0</v>
      </c>
      <c r="N268" s="32" t="s">
        <v>368</v>
      </c>
    </row>
    <row r="269" spans="1:14" ht="10.5">
      <c r="A269" s="28">
        <v>81</v>
      </c>
      <c r="B269" s="7" t="s">
        <v>116</v>
      </c>
      <c r="C269" s="32" t="s">
        <v>289</v>
      </c>
      <c r="D269" s="35">
        <v>0</v>
      </c>
      <c r="F269" s="27">
        <f>ROUND(SUM(G269:N269),2)</f>
        <v>0</v>
      </c>
      <c r="G269" s="27"/>
      <c r="H269" s="27"/>
      <c r="I269" s="27"/>
      <c r="J269" s="31"/>
      <c r="K269" s="31"/>
      <c r="L269" s="27">
        <f>ROUND(SUM('Базовые цены с учетом расхода'!AE6:AE24),2)</f>
        <v>0</v>
      </c>
      <c r="N269" s="32" t="s">
        <v>369</v>
      </c>
    </row>
    <row r="270" spans="1:14" ht="10.5">
      <c r="A270" s="28">
        <v>82</v>
      </c>
      <c r="B270" s="7" t="s">
        <v>117</v>
      </c>
      <c r="C270" s="32" t="s">
        <v>289</v>
      </c>
      <c r="D270" s="35">
        <v>0</v>
      </c>
      <c r="F270" s="27">
        <f>ROUND(SUM('Базовые цены с учетом расхода'!C6:C24),2)</f>
        <v>2502.69</v>
      </c>
      <c r="G270" s="27"/>
      <c r="H270" s="27"/>
      <c r="I270" s="27"/>
      <c r="J270" s="31"/>
      <c r="K270" s="31"/>
      <c r="L270" s="27"/>
      <c r="N270" s="32" t="s">
        <v>370</v>
      </c>
    </row>
    <row r="271" spans="1:14" ht="10.5">
      <c r="A271" s="28">
        <v>83</v>
      </c>
      <c r="B271" s="7" t="s">
        <v>118</v>
      </c>
      <c r="C271" s="32" t="s">
        <v>289</v>
      </c>
      <c r="D271" s="35">
        <v>0</v>
      </c>
      <c r="F271" s="27">
        <f>ROUND(SUM('Базовые цены с учетом расхода'!E6:E24),2)</f>
        <v>72.82</v>
      </c>
      <c r="G271" s="27"/>
      <c r="H271" s="27"/>
      <c r="I271" s="27"/>
      <c r="J271" s="31"/>
      <c r="K271" s="31"/>
      <c r="L271" s="27"/>
      <c r="N271" s="32" t="s">
        <v>371</v>
      </c>
    </row>
    <row r="272" spans="1:14" ht="10.5">
      <c r="A272" s="28">
        <v>84</v>
      </c>
      <c r="B272" s="7" t="s">
        <v>119</v>
      </c>
      <c r="C272" s="32" t="s">
        <v>290</v>
      </c>
      <c r="D272" s="35">
        <v>0</v>
      </c>
      <c r="F272" s="27">
        <f>ROUND((F270+F271),2)</f>
        <v>2575.51</v>
      </c>
      <c r="G272" s="27"/>
      <c r="H272" s="27"/>
      <c r="I272" s="27"/>
      <c r="J272" s="31"/>
      <c r="K272" s="31"/>
      <c r="L272" s="27"/>
      <c r="N272" s="32" t="s">
        <v>372</v>
      </c>
    </row>
    <row r="273" spans="1:14" ht="10.5">
      <c r="A273" s="28">
        <v>85</v>
      </c>
      <c r="B273" s="7" t="s">
        <v>120</v>
      </c>
      <c r="C273" s="32" t="s">
        <v>289</v>
      </c>
      <c r="D273" s="35">
        <v>0</v>
      </c>
      <c r="F273" s="27"/>
      <c r="G273" s="27"/>
      <c r="H273" s="27"/>
      <c r="I273" s="27"/>
      <c r="J273" s="31">
        <f>ROUND(SUM('Базовые цены с учетом расхода'!I6:I24),8)</f>
        <v>286.677975</v>
      </c>
      <c r="K273" s="31"/>
      <c r="L273" s="27"/>
      <c r="N273" s="32" t="s">
        <v>373</v>
      </c>
    </row>
    <row r="274" spans="1:14" ht="10.5">
      <c r="A274" s="28">
        <v>86</v>
      </c>
      <c r="B274" s="7" t="s">
        <v>121</v>
      </c>
      <c r="C274" s="32" t="s">
        <v>289</v>
      </c>
      <c r="D274" s="35">
        <v>0</v>
      </c>
      <c r="F274" s="27"/>
      <c r="G274" s="27"/>
      <c r="H274" s="27"/>
      <c r="I274" s="27"/>
      <c r="J274" s="31">
        <f>ROUND(SUM('Базовые цены с учетом расхода'!K6:K24),8)</f>
        <v>6.369375</v>
      </c>
      <c r="K274" s="31"/>
      <c r="L274" s="27"/>
      <c r="N274" s="32" t="s">
        <v>374</v>
      </c>
    </row>
    <row r="275" spans="1:14" ht="10.5">
      <c r="A275" s="28">
        <v>87</v>
      </c>
      <c r="B275" s="7" t="s">
        <v>122</v>
      </c>
      <c r="C275" s="32" t="s">
        <v>290</v>
      </c>
      <c r="D275" s="35">
        <v>0</v>
      </c>
      <c r="F275" s="27"/>
      <c r="G275" s="27"/>
      <c r="H275" s="27"/>
      <c r="I275" s="27"/>
      <c r="J275" s="31">
        <f>ROUND((J273+J274),8)</f>
        <v>293.04735</v>
      </c>
      <c r="K275" s="31"/>
      <c r="L275" s="27"/>
      <c r="N275" s="32" t="s">
        <v>375</v>
      </c>
    </row>
  </sheetData>
  <sheetProtection/>
  <mergeCells count="6">
    <mergeCell ref="B7:L8"/>
    <mergeCell ref="B98:L99"/>
    <mergeCell ref="A2:L2"/>
    <mergeCell ref="B3:L3"/>
    <mergeCell ref="B4:L4"/>
    <mergeCell ref="A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Л. Бачурин</dc:creator>
  <cp:keywords/>
  <dc:description/>
  <cp:lastModifiedBy>Андрей Л. Бачурин</cp:lastModifiedBy>
  <dcterms:created xsi:type="dcterms:W3CDTF">2018-07-25T10:14:34Z</dcterms:created>
  <dcterms:modified xsi:type="dcterms:W3CDTF">2018-07-25T10:14:34Z</dcterms:modified>
  <cp:category/>
  <cp:version/>
  <cp:contentType/>
  <cp:contentStatus/>
</cp:coreProperties>
</file>