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а" sheetId="1" r:id="rId1"/>
    <sheet name="Базовые цены за единицу без нач" sheetId="2" r:id="rId2"/>
    <sheet name="Базовые цены за единицу" sheetId="3" r:id="rId3"/>
    <sheet name="Текущие цены за единицу" sheetId="4" r:id="rId4"/>
    <sheet name="Базовые цены с учетом расхода" sheetId="5" r:id="rId5"/>
    <sheet name="Текущие цены с учетом расхода" sheetId="6" r:id="rId6"/>
    <sheet name="Начисления" sheetId="7" r:id="rId7"/>
    <sheet name="Определители" sheetId="8" r:id="rId8"/>
    <sheet name="Базовые концовки" sheetId="9" r:id="rId9"/>
    <sheet name="Текущие концовки" sheetId="10" r:id="rId10"/>
  </sheets>
  <definedNames/>
  <calcPr fullCalcOnLoad="1"/>
</workbook>
</file>

<file path=xl/sharedStrings.xml><?xml version="1.0" encoding="utf-8"?>
<sst xmlns="http://schemas.openxmlformats.org/spreadsheetml/2006/main" count="1666" uniqueCount="348">
  <si>
    <t>«СОГЛАСОВАНО»</t>
  </si>
  <si>
    <t>«УТВЕРЖДАЮ»</t>
  </si>
  <si>
    <t>________________ /______________________ /</t>
  </si>
  <si>
    <t>«______»____________________ 20___г.</t>
  </si>
  <si>
    <t>ЛОКАЛЬНАЯ СМЕТА № окна</t>
  </si>
  <si>
    <t>(Локальный сметный расчет)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</si>
  <si>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</si>
  <si>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</si>
  <si>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</si>
  <si>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</si>
  <si>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</si>
  <si>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01.01.2000 и текущих ценах на 11.2017 г. по НБ: "ФЕР-2001 в редакции 2017 года (приказ Минстроя России № 1039/пр)".</t>
  </si>
  <si>
    <t>№ пп</t>
  </si>
  <si>
    <t>Шифр расценки и коды ресурсов</t>
  </si>
  <si>
    <t>Наименование работ и затрат</t>
  </si>
  <si>
    <t>Единица измерения</t>
  </si>
  <si>
    <t>Количество</t>
  </si>
  <si>
    <t>Цена на единицу измерения</t>
  </si>
  <si>
    <t>Поправ. коэфф.</t>
  </si>
  <si>
    <t>Стоимость в ценах 2000 г.</t>
  </si>
  <si>
    <t>Пункт коэфф. пересч.</t>
  </si>
  <si>
    <t>Коэффициенты пересчета</t>
  </si>
  <si>
    <t>Стоимость в текущих ценах</t>
  </si>
  <si>
    <t>Затраты труда рабочих</t>
  </si>
  <si>
    <t>Раздел 1.  Строительно-монтажные работы: окна</t>
  </si>
  <si>
    <t>1.</t>
  </si>
  <si>
    <t>ФЕР 10-01-034-05
(Приказ № 1039/пр от 30.12.2016)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</si>
  <si>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</t>
  </si>
  <si>
    <t>100 м2</t>
  </si>
  <si>
    <t>Зарплата рабочих</t>
  </si>
  <si>
    <t>sum</t>
  </si>
  <si>
    <t>IsZPR</t>
  </si>
  <si>
    <t>Эксплуатация машин</t>
  </si>
  <si>
    <t>в т.ч. зарплата машинистов</t>
  </si>
  <si>
    <t>IsZPM</t>
  </si>
  <si>
    <t>Материальные ресурсы</t>
  </si>
  <si>
    <t>IsMater</t>
  </si>
  <si>
    <t xml:space="preserve"> ФССЦ 11.3.02.03</t>
  </si>
  <si>
    <t xml:space="preserve">  Блоки оконные пластиковые</t>
  </si>
  <si>
    <t>м2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</si>
  <si>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</si>
  <si>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</si>
  <si>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</si>
  <si>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</si>
  <si>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</si>
  <si>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</si>
  <si>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</si>
  <si>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</si>
  <si>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</si>
  <si>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</si>
  <si>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</si>
  <si>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</si>
  <si>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</si>
  <si>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Плановые накопления / Сметная прибыль</t>
  </si>
  <si>
    <t>Plan</t>
  </si>
  <si>
    <t>СП от ЗПР</t>
  </si>
  <si>
    <t>Plan_ZPR</t>
  </si>
  <si>
    <t>СП от ЗПМ</t>
  </si>
  <si>
    <t>Plan_ZPM</t>
  </si>
  <si>
    <t>Затраты труда</t>
  </si>
  <si>
    <t>чел-ч</t>
  </si>
  <si>
    <t>Г</t>
  </si>
  <si>
    <t>2.</t>
  </si>
  <si>
    <t>Блоки оконные из ПВХ профилей 1400х1300(h)</t>
  </si>
  <si>
    <t>шт.</t>
  </si>
  <si>
    <t>3.</t>
  </si>
  <si>
    <t>Блоки оконные из ПВХ профилей 900х900(h)</t>
  </si>
  <si>
    <t>4.</t>
  </si>
  <si>
    <t>Блоки оконные из ПВХ профилей 1200х1200(h)</t>
  </si>
  <si>
    <t>5.</t>
  </si>
  <si>
    <t>ФЕР 10-01-035-02
(Приказ № 1039/пр от 30.12.2016)</t>
  </si>
  <si>
    <t>Установка подоконных досок из ПВХ: в панельных стенах</t>
  </si>
  <si>
    <t>100 м</t>
  </si>
  <si>
    <t>6.</t>
  </si>
  <si>
    <t>Подоконник 300мм</t>
  </si>
  <si>
    <t>м</t>
  </si>
  <si>
    <t>7.</t>
  </si>
  <si>
    <t>ФЕР 15-01-070-01
(Приказ № 1039/пр от 30.12.2016)</t>
  </si>
  <si>
    <t>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</si>
  <si>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Е15-01-070-01</t>
  </si>
  <si>
    <t>8.</t>
  </si>
  <si>
    <t>Отлив 150 мм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</si>
  <si>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</si>
  <si>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</si>
  <si>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</si>
  <si>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</si>
  <si>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</si>
  <si>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</si>
  <si>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</si>
  <si>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</si>
  <si>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</si>
  <si>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</si>
  <si>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</si>
  <si>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</si>
  <si>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</si>
  <si>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</si>
  <si>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МАТЕРИАЛЬНЫЕ 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</si>
  <si>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</si>
  <si>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</si>
  <si>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</si>
  <si>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</si>
  <si>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</si>
  <si>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</si>
  <si>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</si>
  <si>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</si>
  <si>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</si>
  <si>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</si>
  <si>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</si>
  <si>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</si>
  <si>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</si>
  <si>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</si>
  <si>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</si>
  <si>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</si>
  <si>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РЕСТАВРАЦИОННЫХ РАБОТ -</t>
  </si>
  <si>
    <t>ВСЕГО, СТОИМОСТЬ РЕСТАВРАЦИОННЫХ РАБОТ -</t>
  </si>
  <si>
    <t>СТОИМОСТЬ ПЕРЕВОЗКИ ГРУЗОВ -</t>
  </si>
  <si>
    <t>.   В Т.Ч. НАКЛАДНЫЕ РАСХОДЫ -</t>
  </si>
  <si>
    <t>.   В Т.Ч. СМЕТНАЯ ПРИБЫЛЬ -</t>
  </si>
  <si>
    <t>ВСЕГО, СТОИМОСТЬ ПЕРЕВОЗКИ ГРУЗОВ -</t>
  </si>
  <si>
    <t>СТОИМОСТЬ ПУСКОНАЛАДОЧНЫХ РАБОТ -</t>
  </si>
  <si>
    <t>ВСЕГО, СТОИМОСТЬ ПУСКОНАЛАДОЧНЫХ РАБОТ -</t>
  </si>
  <si>
    <t>СТОИМОСТЬ ПРОЧИХ РАБОТ (с НР и СП) -</t>
  </si>
  <si>
    <t>ВСЕГО, СТОИМОСТЬ ПРОЧИХ РАБОТ (с НР и СП) -</t>
  </si>
  <si>
    <t>ВСЕГО, СТОИМОСТЬ ПРОЧИХ РАБОТ (без НР и СП) -</t>
  </si>
  <si>
    <t>ВСЕГО СТОИМОСТЬ ВОЗВРАЩАЕМЫХ МАТЕРИАЛОВ -</t>
  </si>
  <si>
    <t>ВСЕГО НАКЛАДНЫЕ РАСХОДЫ</t>
  </si>
  <si>
    <t>ВСЕГО СМЕТНАЯ ПРИБЫЛЬ</t>
  </si>
  <si>
    <t>в т.ч. Вспомогательные материалы от ОЗП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</si>
  <si>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</si>
  <si>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</si>
  <si>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</si>
  <si>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</si>
  <si>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</si>
  <si>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</si>
  <si>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.    ИТОГО  ПО  СМЕТЕ</t>
  </si>
  <si>
    <t>. ВСЕГО  ПО  СМЕТЕ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</si>
  <si>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</si>
  <si>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</si>
  <si>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</si>
  <si>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</si>
  <si>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</si>
  <si>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</si>
  <si>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</si>
  <si>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</si>
  <si>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</si>
  <si>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</si>
  <si>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</si>
  <si>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</si>
  <si>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</si>
  <si>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</si>
  <si>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</si>
  <si>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</si>
  <si>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</si>
  <si>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</si>
  <si>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</si>
  <si>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</si>
  <si>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</si>
  <si>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</si>
  <si>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</si>
  <si>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</si>
  <si>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</si>
  <si>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</si>
  <si>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</si>
  <si>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</si>
  <si>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</si>
  <si>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</si>
  <si>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</si>
  <si>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</si>
  <si>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NAKL_INC</t>
  </si>
  <si>
    <t>PLAN_INC</t>
  </si>
  <si>
    <t>RN14</t>
  </si>
  <si>
    <t>RN15</t>
  </si>
  <si>
    <t>RN16</t>
  </si>
  <si>
    <t>OBORUD</t>
  </si>
  <si>
    <t>N = &lt; Павел * Для сайта * окна &gt;</t>
  </si>
  <si>
    <t xml:space="preserve">          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</si>
  <si>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</si>
  <si>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</si>
  <si>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</si>
  <si>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</si>
  <si>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</si>
  <si>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</si>
  <si>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</si>
  <si>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</si>
  <si>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</si>
  <si>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</si>
  <si>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</si>
  <si>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</si>
  <si>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</si>
  <si>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</si>
  <si>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</si>
  <si>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</si>
  <si>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</si>
  <si>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</si>
  <si>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</si>
  <si>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</si>
  <si>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</si>
  <si>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</si>
  <si>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</si>
  <si>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</si>
  <si>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</si>
  <si>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</si>
  <si>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</si>
  <si>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</si>
  <si>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</si>
  <si>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</si>
  <si>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</si>
  <si>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</si>
  <si>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</si>
  <si>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</si>
  <si>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</si>
  <si>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</si>
  <si>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</si>
  <si>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</si>
  <si>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</si>
  <si>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</si>
  <si>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</si>
  <si>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</si>
  <si>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</si>
  <si>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</si>
  <si>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</si>
  <si>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</si>
  <si>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</si>
  <si>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</si>
  <si>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</si>
  <si>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</si>
  <si>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</si>
  <si>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</si>
  <si>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</si>
  <si>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</si>
  <si>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</si>
  <si>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</si>
  <si>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</si>
  <si>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</si>
  <si>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</si>
  <si>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</si>
  <si>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</si>
  <si>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</si>
  <si>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</si>
  <si>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</si>
  <si>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</si>
  <si>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</si>
  <si>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</si>
  <si>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</si>
  <si>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</si>
  <si>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</si>
  <si>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</si>
  <si>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</si>
  <si>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</si>
  <si>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</si>
  <si>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</si>
  <si>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</si>
  <si>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!</t>
  </si>
  <si>
    <t>h</t>
  </si>
  <si>
    <t>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</si>
  <si>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</si>
  <si>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</si>
  <si>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</si>
  <si>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</si>
  <si>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</si>
  <si>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</si>
  <si>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</si>
  <si>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</si>
  <si>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</si>
  <si>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</si>
  <si>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</si>
  <si>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</si>
  <si>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</si>
  <si>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</si>
  <si>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</si>
  <si>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</si>
  <si>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</si>
  <si>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</si>
  <si>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</si>
  <si>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</si>
  <si>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</si>
  <si>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</si>
  <si>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</si>
  <si>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</si>
  <si>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</si>
  <si>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</si>
  <si>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</si>
  <si>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</si>
  <si>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</si>
  <si>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</si>
  <si>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</si>
  <si>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</si>
  <si>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</si>
  <si>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</si>
  <si>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</si>
  <si>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</si>
  <si>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</si>
  <si>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</si>
  <si>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</si>
  <si>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</si>
  <si>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</si>
  <si>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</si>
  <si>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</si>
  <si>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</si>
  <si>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</si>
  <si>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</si>
  <si>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</si>
  <si>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</si>
  <si>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</si>
  <si>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</si>
  <si>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</si>
  <si>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</si>
  <si>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</si>
  <si>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</si>
  <si>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</si>
  <si>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</si>
  <si>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</si>
  <si>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</si>
  <si>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</si>
  <si>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</si>
  <si>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</si>
  <si>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</si>
  <si>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</si>
  <si>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</si>
  <si>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</si>
  <si>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</si>
  <si>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</si>
  <si>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</si>
  <si>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</si>
  <si>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</si>
  <si>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</si>
  <si>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</si>
  <si>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</si>
  <si>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</si>
  <si>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</si>
  <si>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</si>
  <si>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</si>
  <si>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</si>
  <si>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</si>
  <si>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</si>
  <si>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</si>
  <si>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</si>
  <si>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</si>
  <si>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</si>
  <si>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</si>
  <si>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 xml:space="preserve">ЛОКАЛЬНАЯ СМЕТА № 1 </t>
  </si>
  <si>
    <t>10-01-034-05</t>
  </si>
  <si>
    <t>прайс</t>
  </si>
  <si>
    <t>10-01-035-02</t>
  </si>
  <si>
    <t>ВСЕГО  ПО  РАЗДЕЛУ 1</t>
  </si>
  <si>
    <t>ВСЕГО  ПО  СМЕТЕ</t>
  </si>
  <si>
    <t>Накладные расходы (к тек. ур. цен *0,85)</t>
  </si>
  <si>
    <t>Плановые накопления / Сметная прибыль (к тек. ур. цен *0,8)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</si>
</sst>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General;\-General;"/>
    <numFmt numFmtId="165" formatCode="#\ ###\ ##0.#0"/>
    <numFmt numFmtId="166" formatCode="##0"/>
    <numFmt numFmtId="167" formatCode="#,##0.00;\-#,##0.00;"/>
    <numFmt numFmtId="168" formatCode="#,##0.000;\-#,##0.000;"/>
    <numFmt numFmtId="169" formatCode="#,##0.##;\-#,##0.##;#\ ##"/>
    <numFmt numFmtId="170" formatCode="#,##0.00000000;\-#,##0.00000000;"/>
    <numFmt numFmtId="171" formatCode="#,##0.00######################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i/>
      <sz val="8"/>
      <name val="Verdana"/>
      <family val="0"/>
    </font>
    <font>
      <sz val="8"/>
      <color indexed="9"/>
      <name val="Verdana"/>
      <family val="0"/>
    </font>
    <font>
      <sz val="1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7" fontId="2" fillId="0" borderId="12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left" vertical="top" wrapText="1"/>
    </xf>
    <xf numFmtId="167" fontId="0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center" vertical="top" wrapText="1"/>
    </xf>
    <xf numFmtId="168" fontId="0" fillId="0" borderId="12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1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center" vertical="top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294"/>
  <sheetViews>
    <sheetView tabSelected="1" zoomScalePageLayoutView="0" workbookViewId="0" topLeftCell="A1">
      <selection activeCell="C94" sqref="C94"/>
    </sheetView>
  </sheetViews>
  <sheetFormatPr defaultColWidth="9.140625" defaultRowHeight="10.5"/>
  <cols>
    <col min="1" max="1" width="4.421875" style="1" customWidth="1"/>
    <col min="2" max="2" width="15.8515625" style="1" customWidth="1"/>
    <col min="3" max="3" width="30.57421875" style="1" customWidth="1"/>
    <col min="4" max="5" width="8.28125" style="1" customWidth="1"/>
    <col min="6" max="6" width="15.8515625" style="1" customWidth="1"/>
    <col min="7" max="7" width="7.8515625" style="1" customWidth="1"/>
    <col min="8" max="8" width="15.8515625" style="1" customWidth="1"/>
    <col min="9" max="9" width="8.28125" style="1" customWidth="1"/>
    <col min="10" max="10" width="10.140625" style="1" customWidth="1"/>
    <col min="11" max="11" width="15.8515625" style="1" customWidth="1"/>
    <col min="12" max="12" width="8.7109375" style="1" customWidth="1"/>
    <col min="13" max="14" width="9.140625" style="1" hidden="1" customWidth="1"/>
    <col min="15" max="17" width="9.140625" style="1" customWidth="1"/>
    <col min="18" max="19" width="9.140625" style="1" hidden="1" customWidth="1"/>
    <col min="20" max="20" width="120.7109375" style="1" hidden="1" customWidth="1"/>
    <col min="21" max="24" width="9.140625" style="1" hidden="1" customWidth="1"/>
    <col min="25" max="16384" width="9.140625" style="1" customWidth="1"/>
  </cols>
  <sheetData>
    <row r="1" ht="10.5">
      <c r="C1" s="58"/>
    </row>
    <row r="2" spans="1:9" ht="10.5" customHeight="1">
      <c r="A2" s="57"/>
      <c r="B2" s="47" t="s">
        <v>0</v>
      </c>
      <c r="C2" s="47"/>
      <c r="D2" s="57"/>
      <c r="F2" s="47" t="s">
        <v>1</v>
      </c>
      <c r="G2" s="47"/>
      <c r="H2" s="47"/>
      <c r="I2" s="47"/>
    </row>
    <row r="3" spans="1:9" ht="10.5">
      <c r="A3" s="46"/>
      <c r="B3" s="46"/>
      <c r="C3" s="46"/>
      <c r="D3" s="46"/>
      <c r="F3" s="46"/>
      <c r="G3" s="46"/>
      <c r="H3" s="46"/>
      <c r="I3" s="46"/>
    </row>
    <row r="4" spans="1:9" ht="10.5">
      <c r="A4" s="46"/>
      <c r="B4" s="46"/>
      <c r="C4" s="46"/>
      <c r="D4" s="46"/>
      <c r="F4" s="46"/>
      <c r="G4" s="46"/>
      <c r="H4" s="46"/>
      <c r="I4" s="46"/>
    </row>
    <row r="5" spans="1:9" ht="10.5">
      <c r="A5" s="44" t="s">
        <v>2</v>
      </c>
      <c r="B5" s="44"/>
      <c r="C5" s="44"/>
      <c r="D5" s="44"/>
      <c r="F5" s="44" t="s">
        <v>2</v>
      </c>
      <c r="G5" s="44"/>
      <c r="H5" s="44"/>
      <c r="I5" s="44"/>
    </row>
    <row r="6" spans="1:9" ht="10.5">
      <c r="A6" s="46"/>
      <c r="B6" s="46"/>
      <c r="C6" s="46"/>
      <c r="D6" s="46"/>
      <c r="F6" s="46"/>
      <c r="G6" s="46"/>
      <c r="H6" s="46"/>
      <c r="I6" s="46"/>
    </row>
    <row r="7" spans="1:9" ht="10.5">
      <c r="A7" s="44" t="s">
        <v>3</v>
      </c>
      <c r="B7" s="44"/>
      <c r="C7" s="44"/>
      <c r="D7" s="44"/>
      <c r="F7" s="44" t="s">
        <v>3</v>
      </c>
      <c r="G7" s="44"/>
      <c r="H7" s="44"/>
      <c r="I7" s="44"/>
    </row>
    <row r="10" spans="1:20" ht="10.5">
      <c r="A10" s="45" t="s">
        <v>340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T10" s="3" t="s">
        <v>4</v>
      </c>
    </row>
    <row r="11" spans="1:20" ht="10.5">
      <c r="A11" s="40" t="s">
        <v>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T11" s="3" t="s">
        <v>5</v>
      </c>
    </row>
    <row r="12" spans="1:20" ht="10.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T12" s="3"/>
    </row>
    <row r="13" spans="9:12" ht="10.5">
      <c r="I13" s="4" t="s">
        <v>6</v>
      </c>
      <c r="J13" s="43" t="str">
        <f>TEXT((K276)/1000,"# ##0"&amp;GetSeparator()&amp;"000")</f>
        <v> 105,808</v>
      </c>
      <c r="K13" s="43"/>
      <c r="L13" s="6" t="s">
        <v>7</v>
      </c>
    </row>
    <row r="14" spans="9:12" ht="10.5">
      <c r="I14" s="4" t="s">
        <v>8</v>
      </c>
      <c r="J14" s="43" t="str">
        <f>TEXT((K287)/1000,"# ##0"&amp;GetSeparator()&amp;"000")</f>
        <v> 0,027</v>
      </c>
      <c r="K14" s="43"/>
      <c r="L14" s="6" t="s">
        <v>9</v>
      </c>
    </row>
    <row r="15" spans="9:12" ht="10.5">
      <c r="I15" s="4" t="s">
        <v>10</v>
      </c>
      <c r="J15" s="43" t="str">
        <f>TEXT((K284)/1000,"# ##0"&amp;GetSeparator()&amp;"000")</f>
        <v> 6,263</v>
      </c>
      <c r="K15" s="43"/>
      <c r="L15" s="6" t="s">
        <v>7</v>
      </c>
    </row>
    <row r="16" spans="1:12" ht="10.5">
      <c r="A16" s="41" t="s">
        <v>11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ht="4.5" customHeight="1"/>
    <row r="18" spans="1:12" ht="33" customHeight="1">
      <c r="A18" s="8" t="s">
        <v>12</v>
      </c>
      <c r="B18" s="8" t="s">
        <v>13</v>
      </c>
      <c r="C18" s="8" t="s">
        <v>14</v>
      </c>
      <c r="D18" s="8" t="s">
        <v>15</v>
      </c>
      <c r="E18" s="8" t="s">
        <v>16</v>
      </c>
      <c r="F18" s="8" t="s">
        <v>17</v>
      </c>
      <c r="G18" s="8" t="s">
        <v>18</v>
      </c>
      <c r="H18" s="8" t="s">
        <v>19</v>
      </c>
      <c r="I18" s="8" t="s">
        <v>20</v>
      </c>
      <c r="J18" s="8" t="s">
        <v>21</v>
      </c>
      <c r="K18" s="8" t="s">
        <v>22</v>
      </c>
      <c r="L18" s="8" t="s">
        <v>23</v>
      </c>
    </row>
    <row r="19" spans="1:12" ht="10.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</row>
    <row r="21" spans="2:12" ht="10.5">
      <c r="B21" s="42" t="s">
        <v>24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ht="10.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9" ht="73.5">
      <c r="A23" s="3" t="s">
        <v>25</v>
      </c>
      <c r="B23" s="2" t="s">
        <v>26</v>
      </c>
      <c r="C23" s="2" t="s">
        <v>27</v>
      </c>
      <c r="D23" s="3" t="s">
        <v>28</v>
      </c>
      <c r="E23" s="1">
        <v>0.1115</v>
      </c>
      <c r="F23" s="10">
        <f>'Базовые цены за единицу без нач'!B6</f>
        <v>13073.08</v>
      </c>
      <c r="I23" s="11" t="s">
        <v>341</v>
      </c>
    </row>
    <row r="24" spans="3:14" ht="10.5">
      <c r="C24" s="12" t="s">
        <v>29</v>
      </c>
      <c r="F24" s="10">
        <v>1639.19</v>
      </c>
      <c r="G24" s="3"/>
      <c r="H24" s="10">
        <f>'Базовые цены с учетом расхода'!C9</f>
        <v>182.77</v>
      </c>
      <c r="J24" s="13">
        <v>26.22</v>
      </c>
      <c r="K24" s="10">
        <f>'Текущие цены с учетом расхода'!C9</f>
        <v>4792.22</v>
      </c>
      <c r="M24" s="1" t="s">
        <v>30</v>
      </c>
      <c r="N24" s="1" t="s">
        <v>31</v>
      </c>
    </row>
    <row r="25" spans="3:13" ht="10.5">
      <c r="C25" s="12" t="s">
        <v>32</v>
      </c>
      <c r="F25" s="10">
        <v>289.6</v>
      </c>
      <c r="G25" s="3"/>
      <c r="H25" s="10">
        <f>'Базовые цены с учетом расхода'!D9</f>
        <v>32.29</v>
      </c>
      <c r="J25" s="13">
        <v>11</v>
      </c>
      <c r="K25" s="10">
        <f>'Текущие цены с учетом расхода'!D9</f>
        <v>355.19</v>
      </c>
      <c r="M25" s="1" t="s">
        <v>30</v>
      </c>
    </row>
    <row r="26" spans="3:14" ht="10.5">
      <c r="C26" s="12" t="s">
        <v>33</v>
      </c>
      <c r="F26" s="10">
        <v>65.17</v>
      </c>
      <c r="G26" s="3"/>
      <c r="H26" s="10">
        <f>'Базовые цены с учетом расхода'!E9</f>
        <v>7.27</v>
      </c>
      <c r="J26" s="13">
        <v>26.22</v>
      </c>
      <c r="K26" s="10">
        <f>'Текущие цены с учетом расхода'!E9</f>
        <v>190.53</v>
      </c>
      <c r="N26" s="1" t="s">
        <v>34</v>
      </c>
    </row>
    <row r="27" spans="3:14" ht="10.5">
      <c r="C27" s="12" t="s">
        <v>35</v>
      </c>
      <c r="F27" s="10">
        <v>11144.29</v>
      </c>
      <c r="G27" s="3"/>
      <c r="H27" s="10">
        <f>'Базовые цены с учетом расхода'!F9</f>
        <v>1242.59</v>
      </c>
      <c r="J27" s="13">
        <v>4.93</v>
      </c>
      <c r="K27" s="10">
        <f>'Текущие цены с учетом расхода'!F9</f>
        <v>6125.96</v>
      </c>
      <c r="M27" s="1" t="s">
        <v>30</v>
      </c>
      <c r="N27" s="1" t="s">
        <v>36</v>
      </c>
    </row>
    <row r="28" spans="2:11" ht="21">
      <c r="B28" s="2" t="s">
        <v>37</v>
      </c>
      <c r="C28" s="2" t="s">
        <v>38</v>
      </c>
      <c r="D28" s="3" t="s">
        <v>39</v>
      </c>
      <c r="E28" s="1">
        <v>11.15</v>
      </c>
      <c r="F28" s="10"/>
      <c r="H28" s="10"/>
      <c r="K28" s="10"/>
    </row>
    <row r="29" spans="3:11" ht="10.5" hidden="1">
      <c r="C29" s="12" t="s">
        <v>29</v>
      </c>
      <c r="H29" s="1">
        <v>182.77</v>
      </c>
      <c r="K29" s="1">
        <v>4792.22</v>
      </c>
    </row>
    <row r="30" spans="3:11" ht="10.5" hidden="1">
      <c r="C30" s="12" t="s">
        <v>32</v>
      </c>
      <c r="H30" s="1">
        <v>32.29</v>
      </c>
      <c r="K30" s="1">
        <v>355.19</v>
      </c>
    </row>
    <row r="31" spans="3:11" ht="10.5" hidden="1">
      <c r="C31" s="12" t="s">
        <v>33</v>
      </c>
      <c r="H31" s="1">
        <v>7.27</v>
      </c>
      <c r="K31" s="1">
        <v>190.53</v>
      </c>
    </row>
    <row r="32" spans="3:11" ht="10.5" hidden="1">
      <c r="C32" s="12" t="s">
        <v>40</v>
      </c>
      <c r="H32" s="1">
        <v>1242.59</v>
      </c>
      <c r="K32" s="1">
        <v>6125.96</v>
      </c>
    </row>
    <row r="33" ht="31.5" hidden="1">
      <c r="C33" s="12" t="s">
        <v>41</v>
      </c>
    </row>
    <row r="34" spans="3:14" ht="21" hidden="1">
      <c r="C34" s="12" t="s">
        <v>42</v>
      </c>
      <c r="F34" s="14"/>
      <c r="J34" s="14"/>
      <c r="M34" s="1" t="s">
        <v>43</v>
      </c>
      <c r="N34" s="1" t="s">
        <v>36</v>
      </c>
    </row>
    <row r="35" ht="21" hidden="1">
      <c r="C35" s="12" t="s">
        <v>44</v>
      </c>
    </row>
    <row r="36" ht="21" hidden="1">
      <c r="C36" s="12" t="s">
        <v>45</v>
      </c>
    </row>
    <row r="37" ht="21" hidden="1">
      <c r="C37" s="12" t="s">
        <v>46</v>
      </c>
    </row>
    <row r="38" spans="3:14" ht="21">
      <c r="C38" s="12" t="s">
        <v>346</v>
      </c>
      <c r="F38" s="1">
        <v>106.2</v>
      </c>
      <c r="H38" s="10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201.82</v>
      </c>
      <c r="J38" s="1">
        <v>90.27</v>
      </c>
      <c r="K38" s="10">
        <f>IF('Текущие цены с учетом расхода'!N9&gt;0,'Текущие цены с учетом расхода'!N9,IF('Текущие цены с учетом расхода'!N9&lt;0,'Текущие цены с учетом расхода'!N9,""))</f>
        <v>4497.93</v>
      </c>
      <c r="N38" s="2" t="s">
        <v>48</v>
      </c>
    </row>
    <row r="39" spans="3:14" ht="10.5" hidden="1">
      <c r="C39" s="12" t="s">
        <v>49</v>
      </c>
      <c r="F39" s="1">
        <v>106.2</v>
      </c>
      <c r="H39" s="10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  <v>194.1</v>
      </c>
      <c r="J39" s="1">
        <v>90.27</v>
      </c>
      <c r="K39" s="10">
        <f>IF('Текущие цены с учетом расхода'!P9&gt;0,'Текущие цены с учетом расхода'!P9,IF('Текущие цены с учетом расхода'!P9&lt;0,'Текущие цены с учетом расхода'!P9,""))</f>
        <v>4325.94</v>
      </c>
      <c r="N39" s="2" t="s">
        <v>50</v>
      </c>
    </row>
    <row r="40" spans="3:14" ht="10.5" hidden="1">
      <c r="C40" s="12" t="s">
        <v>51</v>
      </c>
      <c r="F40" s="1">
        <v>106.2</v>
      </c>
      <c r="H40" s="10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  <v>7.72</v>
      </c>
      <c r="J40" s="1">
        <v>90.27</v>
      </c>
      <c r="K40" s="10">
        <f>IF('Текущие цены с учетом расхода'!Q9&gt;0,'Текущие цены с учетом расхода'!Q9,IF('Текущие цены с учетом расхода'!Q9&lt;0,'Текущие цены с учетом расхода'!Q9,""))</f>
        <v>171.99</v>
      </c>
      <c r="N40" s="2" t="s">
        <v>52</v>
      </c>
    </row>
    <row r="41" spans="3:14" ht="21">
      <c r="C41" s="12" t="s">
        <v>347</v>
      </c>
      <c r="F41" s="1">
        <v>53.55</v>
      </c>
      <c r="H41" s="10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101.77</v>
      </c>
      <c r="J41" s="1">
        <v>42.84</v>
      </c>
      <c r="K41" s="10">
        <f>IF('Текущие цены с учетом расхода'!O9&gt;0,'Текущие цены с учетом расхода'!O9,IF('Текущие цены с учетом расхода'!O9&lt;0,'Текущие цены с учетом расхода'!O9,""))</f>
        <v>2134.61</v>
      </c>
      <c r="N41" s="2" t="s">
        <v>54</v>
      </c>
    </row>
    <row r="42" spans="3:14" ht="10.5" hidden="1">
      <c r="C42" s="12" t="s">
        <v>55</v>
      </c>
      <c r="F42" s="1">
        <v>53.55</v>
      </c>
      <c r="H42" s="10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  <v>97.87</v>
      </c>
      <c r="J42" s="1">
        <v>42.84</v>
      </c>
      <c r="K42" s="10">
        <f>IF('Текущие цены с учетом расхода'!R9&gt;0,'Текущие цены с учетом расхода'!R9,IF('Текущие цены с учетом расхода'!R9&lt;0,'Текущие цены с учетом расхода'!R9,""))</f>
        <v>2052.99</v>
      </c>
      <c r="N42" s="2" t="s">
        <v>56</v>
      </c>
    </row>
    <row r="43" spans="3:14" ht="10.5" hidden="1">
      <c r="C43" s="12" t="s">
        <v>57</v>
      </c>
      <c r="F43" s="1">
        <v>53.55</v>
      </c>
      <c r="H43" s="10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  <v>3.89</v>
      </c>
      <c r="J43" s="1">
        <v>42.84</v>
      </c>
      <c r="K43" s="10">
        <f>IF('Текущие цены с учетом расхода'!S9&gt;0,'Текущие цены с учетом расхода'!S9,IF('Текущие цены с учетом расхода'!S9&lt;0,'Текущие цены с учетом расхода'!S9,""))</f>
        <v>81.62</v>
      </c>
      <c r="N43" s="2" t="s">
        <v>58</v>
      </c>
    </row>
    <row r="44" spans="3:14" ht="10.5">
      <c r="C44" s="12" t="s">
        <v>59</v>
      </c>
      <c r="D44" s="2" t="s">
        <v>60</v>
      </c>
      <c r="E44" s="1">
        <f>'Базовые цены за единицу'!I9</f>
        <v>187.55</v>
      </c>
      <c r="L44" s="1">
        <f>'Текущие цены с учетом расхода'!I9</f>
        <v>20.911825</v>
      </c>
      <c r="M44" s="1" t="s">
        <v>61</v>
      </c>
      <c r="N44" s="1" t="s">
        <v>61</v>
      </c>
    </row>
    <row r="45" spans="6:12" ht="10.5">
      <c r="F45" s="15"/>
      <c r="G45" s="15"/>
      <c r="H45" s="16">
        <f>ROUND(SUMIF(M23:M44,"=sum",H23:H44)+IF(H38="",'Базовые цены с учетом расхода'!N9,H38)+IF(H41="",'Базовые цены с учетом расхода'!O9,H41),2)</f>
        <v>1761.24</v>
      </c>
      <c r="I45" s="15"/>
      <c r="J45" s="15"/>
      <c r="K45" s="16">
        <f>ROUND(SUMIF(M23:M44,"=sum",K23:K44)+IF(K38="",'Текущие цены с учетом расхода'!N9,K38)+IF(K41="",'Текущие цены с учетом расхода'!O9,K41),2)</f>
        <v>17905.91</v>
      </c>
      <c r="L45" s="17">
        <f>ОКРУГЛВСЕ(SUMIF(N23:N44,"=Г",L23:L44),8)</f>
        <v>20.911825</v>
      </c>
    </row>
    <row r="46" spans="1:13" ht="21">
      <c r="A46" s="18" t="s">
        <v>62</v>
      </c>
      <c r="B46" s="19" t="s">
        <v>342</v>
      </c>
      <c r="C46" s="19" t="s">
        <v>63</v>
      </c>
      <c r="D46" s="18" t="s">
        <v>64</v>
      </c>
      <c r="E46" s="15">
        <v>4</v>
      </c>
      <c r="F46" s="20">
        <f>'Базовые цены за единицу без нач'!B7</f>
        <v>11271.19</v>
      </c>
      <c r="G46" s="18"/>
      <c r="H46" s="20">
        <f>'Базовые цены с учетом расхода'!B10</f>
        <v>45084.76</v>
      </c>
      <c r="I46" s="21"/>
      <c r="J46" s="22">
        <v>1</v>
      </c>
      <c r="K46" s="20">
        <f>'Текущие цены с учетом расхода'!B10</f>
        <v>45084.76</v>
      </c>
      <c r="L46" s="15"/>
      <c r="M46" s="1" t="s">
        <v>30</v>
      </c>
    </row>
    <row r="47" ht="10.5" hidden="1">
      <c r="C47" s="12" t="s">
        <v>29</v>
      </c>
    </row>
    <row r="48" ht="10.5" hidden="1">
      <c r="C48" s="12" t="s">
        <v>32</v>
      </c>
    </row>
    <row r="49" ht="10.5" hidden="1">
      <c r="C49" s="12" t="s">
        <v>33</v>
      </c>
    </row>
    <row r="50" spans="3:11" ht="10.5" hidden="1">
      <c r="C50" s="12" t="s">
        <v>40</v>
      </c>
      <c r="H50" s="1">
        <v>45084.76</v>
      </c>
      <c r="K50" s="1">
        <v>45084.76</v>
      </c>
    </row>
    <row r="51" ht="31.5" hidden="1">
      <c r="C51" s="12" t="s">
        <v>41</v>
      </c>
    </row>
    <row r="52" spans="3:14" ht="21" hidden="1">
      <c r="C52" s="12" t="s">
        <v>42</v>
      </c>
      <c r="F52" s="14"/>
      <c r="J52" s="14"/>
      <c r="M52" s="1" t="s">
        <v>43</v>
      </c>
      <c r="N52" s="1" t="s">
        <v>36</v>
      </c>
    </row>
    <row r="53" ht="21" hidden="1">
      <c r="C53" s="12" t="s">
        <v>44</v>
      </c>
    </row>
    <row r="54" ht="21" hidden="1">
      <c r="C54" s="12" t="s">
        <v>45</v>
      </c>
    </row>
    <row r="55" ht="21" hidden="1">
      <c r="C55" s="12" t="s">
        <v>46</v>
      </c>
    </row>
    <row r="56" spans="3:14" ht="10.5" hidden="1">
      <c r="C56" s="12" t="s">
        <v>47</v>
      </c>
      <c r="H56" s="10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K56" s="10">
        <f>IF('Текущие цены с учетом расхода'!N10&gt;0,'Текущие цены с учетом расхода'!N10,IF('Текущие цены с учетом расхода'!N10&lt;0,'Текущие цены с учетом расхода'!N10,""))</f>
      </c>
      <c r="N56" s="2" t="s">
        <v>48</v>
      </c>
    </row>
    <row r="57" spans="3:14" ht="10.5" hidden="1">
      <c r="C57" s="12" t="s">
        <v>49</v>
      </c>
      <c r="H57" s="10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</c>
      <c r="K57" s="10">
        <f>IF('Текущие цены с учетом расхода'!P10&gt;0,'Текущие цены с учетом расхода'!P10,IF('Текущие цены с учетом расхода'!P10&lt;0,'Текущие цены с учетом расхода'!P10,""))</f>
      </c>
      <c r="N57" s="2" t="s">
        <v>50</v>
      </c>
    </row>
    <row r="58" spans="3:14" ht="10.5" hidden="1">
      <c r="C58" s="12" t="s">
        <v>51</v>
      </c>
      <c r="H58" s="10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</c>
      <c r="K58" s="10">
        <f>IF('Текущие цены с учетом расхода'!Q10&gt;0,'Текущие цены с учетом расхода'!Q10,IF('Текущие цены с учетом расхода'!Q10&lt;0,'Текущие цены с учетом расхода'!Q10,""))</f>
      </c>
      <c r="N58" s="2" t="s">
        <v>52</v>
      </c>
    </row>
    <row r="59" spans="3:14" ht="21" hidden="1">
      <c r="C59" s="12" t="s">
        <v>53</v>
      </c>
      <c r="H59" s="10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K59" s="10">
        <f>IF('Текущие цены с учетом расхода'!O10&gt;0,'Текущие цены с учетом расхода'!O10,IF('Текущие цены с учетом расхода'!O10&lt;0,'Текущие цены с учетом расхода'!O10,""))</f>
      </c>
      <c r="N59" s="2" t="s">
        <v>54</v>
      </c>
    </row>
    <row r="60" spans="3:14" ht="10.5" hidden="1">
      <c r="C60" s="12" t="s">
        <v>55</v>
      </c>
      <c r="H60" s="10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</c>
      <c r="K60" s="10">
        <f>IF('Текущие цены с учетом расхода'!R10&gt;0,'Текущие цены с учетом расхода'!R10,IF('Текущие цены с учетом расхода'!R10&lt;0,'Текущие цены с учетом расхода'!R10,""))</f>
      </c>
      <c r="N60" s="2" t="s">
        <v>56</v>
      </c>
    </row>
    <row r="61" spans="3:14" ht="10.5" hidden="1">
      <c r="C61" s="12" t="s">
        <v>57</v>
      </c>
      <c r="H61" s="10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</c>
      <c r="K61" s="10">
        <f>IF('Текущие цены с учетом расхода'!S10&gt;0,'Текущие цены с учетом расхода'!S10,IF('Текущие цены с учетом расхода'!S10&lt;0,'Текущие цены с учетом расхода'!S10,""))</f>
      </c>
      <c r="N61" s="2" t="s">
        <v>58</v>
      </c>
    </row>
    <row r="62" spans="1:13" ht="21">
      <c r="A62" s="18" t="s">
        <v>65</v>
      </c>
      <c r="B62" s="19" t="s">
        <v>342</v>
      </c>
      <c r="C62" s="19" t="s">
        <v>66</v>
      </c>
      <c r="D62" s="18" t="s">
        <v>64</v>
      </c>
      <c r="E62" s="15">
        <v>3</v>
      </c>
      <c r="F62" s="20">
        <f>'Базовые цены за единицу без нач'!B8</f>
        <v>7033.9</v>
      </c>
      <c r="G62" s="18"/>
      <c r="H62" s="20">
        <f>'Базовые цены с учетом расхода'!B11</f>
        <v>21101.7</v>
      </c>
      <c r="I62" s="21"/>
      <c r="J62" s="22">
        <v>1</v>
      </c>
      <c r="K62" s="20">
        <f>'Текущие цены с учетом расхода'!B11</f>
        <v>21101.7</v>
      </c>
      <c r="L62" s="15"/>
      <c r="M62" s="1" t="s">
        <v>30</v>
      </c>
    </row>
    <row r="63" ht="10.5" hidden="1">
      <c r="C63" s="12" t="s">
        <v>29</v>
      </c>
    </row>
    <row r="64" ht="10.5" hidden="1">
      <c r="C64" s="12" t="s">
        <v>32</v>
      </c>
    </row>
    <row r="65" ht="10.5" hidden="1">
      <c r="C65" s="12" t="s">
        <v>33</v>
      </c>
    </row>
    <row r="66" spans="3:11" ht="10.5" hidden="1">
      <c r="C66" s="12" t="s">
        <v>40</v>
      </c>
      <c r="H66" s="1">
        <v>21101.7</v>
      </c>
      <c r="K66" s="1">
        <v>21101.7</v>
      </c>
    </row>
    <row r="67" ht="31.5" hidden="1">
      <c r="C67" s="12" t="s">
        <v>41</v>
      </c>
    </row>
    <row r="68" spans="3:14" ht="21" hidden="1">
      <c r="C68" s="12" t="s">
        <v>42</v>
      </c>
      <c r="F68" s="14"/>
      <c r="J68" s="14"/>
      <c r="M68" s="1" t="s">
        <v>43</v>
      </c>
      <c r="N68" s="1" t="s">
        <v>36</v>
      </c>
    </row>
    <row r="69" ht="21" hidden="1">
      <c r="C69" s="12" t="s">
        <v>44</v>
      </c>
    </row>
    <row r="70" ht="21" hidden="1">
      <c r="C70" s="12" t="s">
        <v>45</v>
      </c>
    </row>
    <row r="71" ht="21" hidden="1">
      <c r="C71" s="12" t="s">
        <v>46</v>
      </c>
    </row>
    <row r="72" spans="3:14" ht="10.5" hidden="1">
      <c r="C72" s="12" t="s">
        <v>47</v>
      </c>
      <c r="H72" s="10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K72" s="10">
        <f>IF('Текущие цены с учетом расхода'!N11&gt;0,'Текущие цены с учетом расхода'!N11,IF('Текущие цены с учетом расхода'!N11&lt;0,'Текущие цены с учетом расхода'!N11,""))</f>
      </c>
      <c r="N72" s="2" t="s">
        <v>48</v>
      </c>
    </row>
    <row r="73" spans="3:14" ht="10.5" hidden="1">
      <c r="C73" s="12" t="s">
        <v>49</v>
      </c>
      <c r="H73" s="10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</c>
      <c r="K73" s="10">
        <f>IF('Текущие цены с учетом расхода'!P11&gt;0,'Текущие цены с учетом расхода'!P11,IF('Текущие цены с учетом расхода'!P11&lt;0,'Текущие цены с учетом расхода'!P11,""))</f>
      </c>
      <c r="N73" s="2" t="s">
        <v>50</v>
      </c>
    </row>
    <row r="74" spans="3:14" ht="10.5" hidden="1">
      <c r="C74" s="12" t="s">
        <v>51</v>
      </c>
      <c r="H74" s="10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</c>
      <c r="K74" s="10">
        <f>IF('Текущие цены с учетом расхода'!Q11&gt;0,'Текущие цены с учетом расхода'!Q11,IF('Текущие цены с учетом расхода'!Q11&lt;0,'Текущие цены с учетом расхода'!Q11,""))</f>
      </c>
      <c r="N74" s="2" t="s">
        <v>52</v>
      </c>
    </row>
    <row r="75" spans="3:14" ht="21" hidden="1">
      <c r="C75" s="12" t="s">
        <v>53</v>
      </c>
      <c r="H75" s="10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K75" s="10">
        <f>IF('Текущие цены с учетом расхода'!O11&gt;0,'Текущие цены с учетом расхода'!O11,IF('Текущие цены с учетом расхода'!O11&lt;0,'Текущие цены с учетом расхода'!O11,""))</f>
      </c>
      <c r="N75" s="2" t="s">
        <v>54</v>
      </c>
    </row>
    <row r="76" spans="3:14" ht="10.5" hidden="1">
      <c r="C76" s="12" t="s">
        <v>55</v>
      </c>
      <c r="H76" s="10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</c>
      <c r="K76" s="10">
        <f>IF('Текущие цены с учетом расхода'!R11&gt;0,'Текущие цены с учетом расхода'!R11,IF('Текущие цены с учетом расхода'!R11&lt;0,'Текущие цены с учетом расхода'!R11,""))</f>
      </c>
      <c r="N76" s="2" t="s">
        <v>56</v>
      </c>
    </row>
    <row r="77" spans="3:14" ht="10.5" hidden="1">
      <c r="C77" s="12" t="s">
        <v>57</v>
      </c>
      <c r="H77" s="10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</c>
      <c r="K77" s="10">
        <f>IF('Текущие цены с учетом расхода'!S11&gt;0,'Текущие цены с учетом расхода'!S11,IF('Текущие цены с учетом расхода'!S11&lt;0,'Текущие цены с учетом расхода'!S11,""))</f>
      </c>
      <c r="N77" s="2" t="s">
        <v>58</v>
      </c>
    </row>
    <row r="78" spans="1:13" ht="21">
      <c r="A78" s="18" t="s">
        <v>67</v>
      </c>
      <c r="B78" s="19" t="s">
        <v>342</v>
      </c>
      <c r="C78" s="19" t="s">
        <v>68</v>
      </c>
      <c r="D78" s="18" t="s">
        <v>64</v>
      </c>
      <c r="E78" s="15">
        <v>1</v>
      </c>
      <c r="F78" s="20">
        <f>'Базовые цены за единицу без нач'!B9</f>
        <v>10423.73</v>
      </c>
      <c r="G78" s="18"/>
      <c r="H78" s="20">
        <f>'Базовые цены с учетом расхода'!B12</f>
        <v>10423.73</v>
      </c>
      <c r="I78" s="21"/>
      <c r="J78" s="22">
        <v>1</v>
      </c>
      <c r="K78" s="20">
        <f>'Текущие цены с учетом расхода'!B12</f>
        <v>10423.73</v>
      </c>
      <c r="L78" s="15"/>
      <c r="M78" s="1" t="s">
        <v>30</v>
      </c>
    </row>
    <row r="79" ht="10.5" hidden="1">
      <c r="C79" s="12" t="s">
        <v>29</v>
      </c>
    </row>
    <row r="80" ht="10.5" hidden="1">
      <c r="C80" s="12" t="s">
        <v>32</v>
      </c>
    </row>
    <row r="81" ht="10.5" hidden="1">
      <c r="C81" s="12" t="s">
        <v>33</v>
      </c>
    </row>
    <row r="82" spans="3:11" ht="10.5" hidden="1">
      <c r="C82" s="12" t="s">
        <v>40</v>
      </c>
      <c r="H82" s="1">
        <v>10423.73</v>
      </c>
      <c r="K82" s="1">
        <v>10423.73</v>
      </c>
    </row>
    <row r="83" ht="31.5" hidden="1">
      <c r="C83" s="12" t="s">
        <v>41</v>
      </c>
    </row>
    <row r="84" spans="3:14" ht="21" hidden="1">
      <c r="C84" s="12" t="s">
        <v>42</v>
      </c>
      <c r="F84" s="14"/>
      <c r="J84" s="14"/>
      <c r="M84" s="1" t="s">
        <v>43</v>
      </c>
      <c r="N84" s="1" t="s">
        <v>36</v>
      </c>
    </row>
    <row r="85" ht="21" hidden="1">
      <c r="C85" s="12" t="s">
        <v>44</v>
      </c>
    </row>
    <row r="86" ht="21" hidden="1">
      <c r="C86" s="12" t="s">
        <v>45</v>
      </c>
    </row>
    <row r="87" ht="21" hidden="1">
      <c r="C87" s="12" t="s">
        <v>46</v>
      </c>
    </row>
    <row r="88" spans="3:14" ht="10.5" hidden="1">
      <c r="C88" s="12" t="s">
        <v>47</v>
      </c>
      <c r="H88" s="10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K88" s="10">
        <f>IF('Текущие цены с учетом расхода'!N12&gt;0,'Текущие цены с учетом расхода'!N12,IF('Текущие цены с учетом расхода'!N12&lt;0,'Текущие цены с учетом расхода'!N12,""))</f>
      </c>
      <c r="N88" s="2" t="s">
        <v>48</v>
      </c>
    </row>
    <row r="89" spans="3:14" ht="10.5" hidden="1">
      <c r="C89" s="12" t="s">
        <v>49</v>
      </c>
      <c r="H89" s="10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</c>
      <c r="K89" s="10">
        <f>IF('Текущие цены с учетом расхода'!P12&gt;0,'Текущие цены с учетом расхода'!P12,IF('Текущие цены с учетом расхода'!P12&lt;0,'Текущие цены с учетом расхода'!P12,""))</f>
      </c>
      <c r="N89" s="2" t="s">
        <v>50</v>
      </c>
    </row>
    <row r="90" spans="3:14" ht="10.5" hidden="1">
      <c r="C90" s="12" t="s">
        <v>51</v>
      </c>
      <c r="H90" s="10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</c>
      <c r="K90" s="10">
        <f>IF('Текущие цены с учетом расхода'!Q12&gt;0,'Текущие цены с учетом расхода'!Q12,IF('Текущие цены с учетом расхода'!Q12&lt;0,'Текущие цены с учетом расхода'!Q12,""))</f>
      </c>
      <c r="N90" s="2" t="s">
        <v>52</v>
      </c>
    </row>
    <row r="91" spans="3:14" ht="21" hidden="1">
      <c r="C91" s="12" t="s">
        <v>53</v>
      </c>
      <c r="H91" s="10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K91" s="10">
        <f>IF('Текущие цены с учетом расхода'!O12&gt;0,'Текущие цены с учетом расхода'!O12,IF('Текущие цены с учетом расхода'!O12&lt;0,'Текущие цены с учетом расхода'!O12,""))</f>
      </c>
      <c r="N91" s="2" t="s">
        <v>54</v>
      </c>
    </row>
    <row r="92" spans="3:14" ht="10.5" hidden="1">
      <c r="C92" s="12" t="s">
        <v>55</v>
      </c>
      <c r="H92" s="10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</c>
      <c r="K92" s="10">
        <f>IF('Текущие цены с учетом расхода'!R12&gt;0,'Текущие цены с учетом расхода'!R12,IF('Текущие цены с учетом расхода'!R12&lt;0,'Текущие цены с учетом расхода'!R12,""))</f>
      </c>
      <c r="N92" s="2" t="s">
        <v>56</v>
      </c>
    </row>
    <row r="93" spans="3:14" ht="10.5" hidden="1">
      <c r="C93" s="12" t="s">
        <v>57</v>
      </c>
      <c r="H93" s="10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</c>
      <c r="K93" s="10">
        <f>IF('Текущие цены с учетом расхода'!S12&gt;0,'Текущие цены с учетом расхода'!S12,IF('Текущие цены с учетом расхода'!S12&lt;0,'Текущие цены с учетом расхода'!S12,""))</f>
      </c>
      <c r="N93" s="2" t="s">
        <v>58</v>
      </c>
    </row>
    <row r="94" spans="1:12" ht="52.5">
      <c r="A94" s="18" t="s">
        <v>69</v>
      </c>
      <c r="B94" s="19" t="s">
        <v>70</v>
      </c>
      <c r="C94" s="19" t="s">
        <v>71</v>
      </c>
      <c r="D94" s="18" t="s">
        <v>72</v>
      </c>
      <c r="E94" s="15">
        <v>0.11</v>
      </c>
      <c r="F94" s="20">
        <f>'Базовые цены за единицу без нач'!B10</f>
        <v>3418.01</v>
      </c>
      <c r="G94" s="15"/>
      <c r="H94" s="15"/>
      <c r="I94" s="21" t="s">
        <v>343</v>
      </c>
      <c r="J94" s="15"/>
      <c r="K94" s="15"/>
      <c r="L94" s="15"/>
    </row>
    <row r="95" spans="3:14" ht="10.5">
      <c r="C95" s="12" t="s">
        <v>29</v>
      </c>
      <c r="F95" s="10">
        <v>181.35</v>
      </c>
      <c r="G95" s="3"/>
      <c r="H95" s="10">
        <f>'Базовые цены с учетом расхода'!C13</f>
        <v>19.95</v>
      </c>
      <c r="J95" s="13">
        <v>26.22</v>
      </c>
      <c r="K95" s="10">
        <f>'Текущие цены с учетом расхода'!C13</f>
        <v>523.05</v>
      </c>
      <c r="M95" s="1" t="s">
        <v>30</v>
      </c>
      <c r="N95" s="1" t="s">
        <v>31</v>
      </c>
    </row>
    <row r="96" spans="3:13" ht="10.5">
      <c r="C96" s="12" t="s">
        <v>32</v>
      </c>
      <c r="F96" s="10">
        <v>1.56</v>
      </c>
      <c r="G96" s="3"/>
      <c r="H96" s="10">
        <f>'Базовые цены с учетом расхода'!D13</f>
        <v>0.17</v>
      </c>
      <c r="J96" s="13">
        <v>10.85</v>
      </c>
      <c r="K96" s="10">
        <f>'Текущие цены с учетом расхода'!D13</f>
        <v>1.86</v>
      </c>
      <c r="M96" s="1" t="s">
        <v>30</v>
      </c>
    </row>
    <row r="97" spans="3:14" ht="10.5">
      <c r="C97" s="12" t="s">
        <v>33</v>
      </c>
      <c r="F97" s="10">
        <v>0.68</v>
      </c>
      <c r="G97" s="3"/>
      <c r="H97" s="10">
        <f>'Базовые цены с учетом расхода'!E13</f>
        <v>0.07</v>
      </c>
      <c r="J97" s="13">
        <v>26.22</v>
      </c>
      <c r="K97" s="10">
        <f>'Текущие цены с учетом расхода'!E13</f>
        <v>1.96</v>
      </c>
      <c r="N97" s="1" t="s">
        <v>34</v>
      </c>
    </row>
    <row r="98" spans="3:14" ht="10.5">
      <c r="C98" s="12" t="s">
        <v>35</v>
      </c>
      <c r="F98" s="10">
        <v>3235.1</v>
      </c>
      <c r="G98" s="3"/>
      <c r="H98" s="10">
        <f>'Базовые цены с учетом расхода'!F13</f>
        <v>355.86</v>
      </c>
      <c r="J98" s="13">
        <v>6.76</v>
      </c>
      <c r="K98" s="10">
        <f>'Текущие цены с учетом расхода'!F13</f>
        <v>2405.62</v>
      </c>
      <c r="M98" s="1" t="s">
        <v>30</v>
      </c>
      <c r="N98" s="1" t="s">
        <v>36</v>
      </c>
    </row>
    <row r="99" spans="3:11" ht="10.5" hidden="1">
      <c r="C99" s="12" t="s">
        <v>29</v>
      </c>
      <c r="H99" s="1">
        <v>19.95</v>
      </c>
      <c r="K99" s="1">
        <v>523.05</v>
      </c>
    </row>
    <row r="100" spans="3:11" ht="10.5" hidden="1">
      <c r="C100" s="12" t="s">
        <v>32</v>
      </c>
      <c r="H100" s="1">
        <v>0.17</v>
      </c>
      <c r="K100" s="1">
        <v>1.86</v>
      </c>
    </row>
    <row r="101" spans="3:11" ht="10.5" hidden="1">
      <c r="C101" s="12" t="s">
        <v>33</v>
      </c>
      <c r="H101" s="1">
        <v>0.07</v>
      </c>
      <c r="K101" s="1">
        <v>1.96</v>
      </c>
    </row>
    <row r="102" spans="3:11" ht="10.5" hidden="1">
      <c r="C102" s="12" t="s">
        <v>40</v>
      </c>
      <c r="H102" s="1">
        <v>355.86</v>
      </c>
      <c r="K102" s="1">
        <v>2405.62</v>
      </c>
    </row>
    <row r="103" ht="31.5" hidden="1">
      <c r="C103" s="12" t="s">
        <v>41</v>
      </c>
    </row>
    <row r="104" spans="3:14" ht="21" hidden="1">
      <c r="C104" s="12" t="s">
        <v>42</v>
      </c>
      <c r="F104" s="14"/>
      <c r="J104" s="14"/>
      <c r="M104" s="1" t="s">
        <v>43</v>
      </c>
      <c r="N104" s="1" t="s">
        <v>36</v>
      </c>
    </row>
    <row r="105" ht="21" hidden="1">
      <c r="C105" s="12" t="s">
        <v>44</v>
      </c>
    </row>
    <row r="106" ht="21" hidden="1">
      <c r="C106" s="12" t="s">
        <v>45</v>
      </c>
    </row>
    <row r="107" ht="21" hidden="1">
      <c r="C107" s="12" t="s">
        <v>46</v>
      </c>
    </row>
    <row r="108" spans="3:14" ht="21">
      <c r="C108" s="12" t="s">
        <v>346</v>
      </c>
      <c r="F108" s="1">
        <v>106.2</v>
      </c>
      <c r="H108" s="10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21.26</v>
      </c>
      <c r="J108" s="1">
        <v>90.27</v>
      </c>
      <c r="K108" s="10">
        <f>IF('Текущие цены с учетом расхода'!N13&gt;0,'Текущие цены с учетом расхода'!N13,IF('Текущие цены с учетом расхода'!N13&lt;0,'Текущие цены с учетом расхода'!N13,""))</f>
        <v>473.93</v>
      </c>
      <c r="N108" s="2" t="s">
        <v>48</v>
      </c>
    </row>
    <row r="109" spans="3:14" ht="10.5" hidden="1">
      <c r="C109" s="12" t="s">
        <v>49</v>
      </c>
      <c r="F109" s="1">
        <v>106.2</v>
      </c>
      <c r="H109" s="10">
        <f>IF('Базовые цены с учетом расхода'!P13&gt;0,'Базовые цены с учетом расхода'!P13,IF('Базовые цены с учетом расхода'!P13&lt;0,'Базовые цены с учетом расхода'!P13,""))</f>
        <v>21.19</v>
      </c>
      <c r="J109" s="1">
        <v>90.27</v>
      </c>
      <c r="K109" s="10">
        <f>IF('Текущие цены с учетом расхода'!P13&gt;0,'Текущие цены с учетом расхода'!P13,IF('Текущие цены с учетом расхода'!P13&lt;0,'Текущие цены с учетом расхода'!P13,""))</f>
        <v>472.16</v>
      </c>
      <c r="N109" s="2" t="s">
        <v>50</v>
      </c>
    </row>
    <row r="110" spans="3:14" ht="10.5" hidden="1">
      <c r="C110" s="12" t="s">
        <v>51</v>
      </c>
      <c r="F110" s="1">
        <v>106.2</v>
      </c>
      <c r="H110" s="10">
        <f>IF('Базовые цены с учетом расхода'!Q13&gt;0,'Базовые цены с учетом расхода'!Q13,IF('Базовые цены с учетом расхода'!Q13&lt;0,'Базовые цены с учетом расхода'!Q13,""))</f>
        <v>0.08</v>
      </c>
      <c r="J110" s="1">
        <v>90.27</v>
      </c>
      <c r="K110" s="10">
        <f>IF('Текущие цены с учетом расхода'!Q13&gt;0,'Текущие цены с учетом расхода'!Q13,IF('Текущие цены с учетом расхода'!Q13&lt;0,'Текущие цены с учетом расхода'!Q13,""))</f>
        <v>1.77</v>
      </c>
      <c r="N110" s="2" t="s">
        <v>52</v>
      </c>
    </row>
    <row r="111" spans="3:14" ht="21">
      <c r="C111" s="12" t="s">
        <v>347</v>
      </c>
      <c r="F111" s="1">
        <v>53.55</v>
      </c>
      <c r="H111" s="10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10.72</v>
      </c>
      <c r="J111" s="1">
        <v>42.84</v>
      </c>
      <c r="K111" s="10">
        <f>IF('Текущие цены с учетом расхода'!O13&gt;0,'Текущие цены с учетом расхода'!O13,IF('Текущие цены с учетом расхода'!O13&lt;0,'Текущие цены с учетом расхода'!O13,""))</f>
        <v>224.91</v>
      </c>
      <c r="N111" s="2" t="s">
        <v>54</v>
      </c>
    </row>
    <row r="112" spans="3:14" ht="10.5" hidden="1">
      <c r="C112" s="12" t="s">
        <v>55</v>
      </c>
      <c r="F112" s="1">
        <v>53.55</v>
      </c>
      <c r="H112" s="10">
        <f>IF('Базовые цены с учетом расхода'!R13&gt;0,'Базовые цены с учетом расхода'!R13,IF('Базовые цены с учетом расхода'!R13&lt;0,'Базовые цены с учетом расхода'!R13,""))</f>
        <v>10.68</v>
      </c>
      <c r="J112" s="1">
        <v>42.84</v>
      </c>
      <c r="K112" s="10">
        <f>IF('Текущие цены с учетом расхода'!R13&gt;0,'Текущие цены с учетом расхода'!R13,IF('Текущие цены с учетом расхода'!R13&lt;0,'Текущие цены с учетом расхода'!R13,""))</f>
        <v>224.07</v>
      </c>
      <c r="N112" s="2" t="s">
        <v>56</v>
      </c>
    </row>
    <row r="113" spans="3:14" ht="10.5" hidden="1">
      <c r="C113" s="12" t="s">
        <v>57</v>
      </c>
      <c r="F113" s="1">
        <v>53.55</v>
      </c>
      <c r="H113" s="10">
        <f>IF('Базовые цены с учетом расхода'!S13&gt;0,'Базовые цены с учетом расхода'!S13,IF('Базовые цены с учетом расхода'!S13&lt;0,'Базовые цены с учетом расхода'!S13,""))</f>
        <v>0.04</v>
      </c>
      <c r="J113" s="1">
        <v>42.84</v>
      </c>
      <c r="K113" s="10">
        <f>IF('Текущие цены с учетом расхода'!S13&gt;0,'Текущие цены с учетом расхода'!S13,IF('Текущие цены с учетом расхода'!S13&lt;0,'Текущие цены с учетом расхода'!S13,""))</f>
        <v>0.84</v>
      </c>
      <c r="N113" s="2" t="s">
        <v>58</v>
      </c>
    </row>
    <row r="114" spans="3:14" ht="10.5">
      <c r="C114" s="12" t="s">
        <v>59</v>
      </c>
      <c r="D114" s="2" t="s">
        <v>60</v>
      </c>
      <c r="E114" s="1">
        <f>'Базовые цены за единицу'!I13</f>
        <v>21.26</v>
      </c>
      <c r="L114" s="1">
        <f>'Текущие цены с учетом расхода'!I13</f>
        <v>2.3386</v>
      </c>
      <c r="M114" s="1" t="s">
        <v>61</v>
      </c>
      <c r="N114" s="1" t="s">
        <v>61</v>
      </c>
    </row>
    <row r="115" spans="6:12" ht="10.5">
      <c r="F115" s="15"/>
      <c r="G115" s="15"/>
      <c r="H115" s="16">
        <f>ROUND(SUMIF(M94:M114,"=sum",H94:H114)+IF(H108="",'Базовые цены с учетом расхода'!N13,H108)+IF(H111="",'Базовые цены с учетом расхода'!O13,H111),2)</f>
        <v>407.96</v>
      </c>
      <c r="I115" s="15"/>
      <c r="J115" s="15"/>
      <c r="K115" s="16">
        <f>ROUND(SUMIF(M94:M114,"=sum",K94:K114)+IF(K108="",'Текущие цены с учетом расхода'!N13,K108)+IF(K111="",'Текущие цены с учетом расхода'!O13,K111),2)</f>
        <v>3629.37</v>
      </c>
      <c r="L115" s="17">
        <f>ОКРУГЛВСЕ(SUMIF(N94:N114,"=Г",L94:L114),8)</f>
        <v>2.3386</v>
      </c>
    </row>
    <row r="116" spans="1:13" ht="10.5">
      <c r="A116" s="18" t="s">
        <v>73</v>
      </c>
      <c r="B116" s="19" t="s">
        <v>342</v>
      </c>
      <c r="C116" s="19" t="s">
        <v>74</v>
      </c>
      <c r="D116" s="18" t="s">
        <v>75</v>
      </c>
      <c r="E116" s="15">
        <v>11</v>
      </c>
      <c r="F116" s="20">
        <f>'Базовые цены за единицу без нач'!B11</f>
        <v>292.37</v>
      </c>
      <c r="G116" s="18"/>
      <c r="H116" s="20">
        <f>'Базовые цены с учетом расхода'!B14</f>
        <v>3216.07</v>
      </c>
      <c r="I116" s="21"/>
      <c r="J116" s="22">
        <v>1</v>
      </c>
      <c r="K116" s="20">
        <f>'Текущие цены с учетом расхода'!B14</f>
        <v>3216.07</v>
      </c>
      <c r="L116" s="15"/>
      <c r="M116" s="1" t="s">
        <v>30</v>
      </c>
    </row>
    <row r="117" ht="10.5" hidden="1">
      <c r="C117" s="12" t="s">
        <v>29</v>
      </c>
    </row>
    <row r="118" ht="10.5" hidden="1">
      <c r="C118" s="12" t="s">
        <v>32</v>
      </c>
    </row>
    <row r="119" ht="10.5" hidden="1">
      <c r="C119" s="12" t="s">
        <v>33</v>
      </c>
    </row>
    <row r="120" spans="3:11" ht="10.5" hidden="1">
      <c r="C120" s="12" t="s">
        <v>40</v>
      </c>
      <c r="H120" s="1">
        <v>3216.07</v>
      </c>
      <c r="K120" s="1">
        <v>3216.07</v>
      </c>
    </row>
    <row r="121" ht="31.5" hidden="1">
      <c r="C121" s="12" t="s">
        <v>41</v>
      </c>
    </row>
    <row r="122" spans="3:14" ht="21" hidden="1">
      <c r="C122" s="12" t="s">
        <v>42</v>
      </c>
      <c r="F122" s="14"/>
      <c r="J122" s="14"/>
      <c r="M122" s="1" t="s">
        <v>43</v>
      </c>
      <c r="N122" s="1" t="s">
        <v>36</v>
      </c>
    </row>
    <row r="123" ht="21" hidden="1">
      <c r="C123" s="12" t="s">
        <v>44</v>
      </c>
    </row>
    <row r="124" ht="21" hidden="1">
      <c r="C124" s="12" t="s">
        <v>45</v>
      </c>
    </row>
    <row r="125" ht="21" hidden="1">
      <c r="C125" s="12" t="s">
        <v>46</v>
      </c>
    </row>
    <row r="126" spans="3:14" ht="10.5" hidden="1">
      <c r="C126" s="12" t="s">
        <v>47</v>
      </c>
      <c r="H126" s="10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K126" s="10">
        <f>IF('Текущие цены с учетом расхода'!N14&gt;0,'Текущие цены с учетом расхода'!N14,IF('Текущие цены с учетом расхода'!N14&lt;0,'Текущие цены с учетом расхода'!N14,""))</f>
      </c>
      <c r="N126" s="2" t="s">
        <v>48</v>
      </c>
    </row>
    <row r="127" spans="3:14" ht="10.5" hidden="1">
      <c r="C127" s="12" t="s">
        <v>49</v>
      </c>
      <c r="H127" s="10">
        <f>IF('Базовые цены с учетом расхода'!P14&gt;0,'Базовые цены с учетом расхода'!P14,IF('Базовые цены с учетом расхода'!P14&lt;0,'Базовые цены с учетом расхода'!P14,""))</f>
      </c>
      <c r="K127" s="10">
        <f>IF('Текущие цены с учетом расхода'!P14&gt;0,'Текущие цены с учетом расхода'!P14,IF('Текущие цены с учетом расхода'!P14&lt;0,'Текущие цены с учетом расхода'!P14,""))</f>
      </c>
      <c r="N127" s="2" t="s">
        <v>50</v>
      </c>
    </row>
    <row r="128" spans="3:14" ht="10.5" hidden="1">
      <c r="C128" s="12" t="s">
        <v>51</v>
      </c>
      <c r="H128" s="10">
        <f>IF('Базовые цены с учетом расхода'!Q14&gt;0,'Базовые цены с учетом расхода'!Q14,IF('Базовые цены с учетом расхода'!Q14&lt;0,'Базовые цены с учетом расхода'!Q14,""))</f>
      </c>
      <c r="K128" s="10">
        <f>IF('Текущие цены с учетом расхода'!Q14&gt;0,'Текущие цены с учетом расхода'!Q14,IF('Текущие цены с учетом расхода'!Q14&lt;0,'Текущие цены с учетом расхода'!Q14,""))</f>
      </c>
      <c r="N128" s="2" t="s">
        <v>52</v>
      </c>
    </row>
    <row r="129" spans="3:14" ht="21" hidden="1">
      <c r="C129" s="12" t="s">
        <v>53</v>
      </c>
      <c r="H129" s="10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K129" s="10">
        <f>IF('Текущие цены с учетом расхода'!O14&gt;0,'Текущие цены с учетом расхода'!O14,IF('Текущие цены с учетом расхода'!O14&lt;0,'Текущие цены с учетом расхода'!O14,""))</f>
      </c>
      <c r="N129" s="2" t="s">
        <v>54</v>
      </c>
    </row>
    <row r="130" spans="3:14" ht="10.5" hidden="1">
      <c r="C130" s="12" t="s">
        <v>55</v>
      </c>
      <c r="H130" s="10">
        <f>IF('Базовые цены с учетом расхода'!R14&gt;0,'Базовые цены с учетом расхода'!R14,IF('Базовые цены с учетом расхода'!R14&lt;0,'Базовые цены с учетом расхода'!R14,""))</f>
      </c>
      <c r="K130" s="10">
        <f>IF('Текущие цены с учетом расхода'!R14&gt;0,'Текущие цены с учетом расхода'!R14,IF('Текущие цены с учетом расхода'!R14&lt;0,'Текущие цены с учетом расхода'!R14,""))</f>
      </c>
      <c r="N130" s="2" t="s">
        <v>56</v>
      </c>
    </row>
    <row r="131" spans="3:14" ht="10.5" hidden="1">
      <c r="C131" s="12" t="s">
        <v>57</v>
      </c>
      <c r="H131" s="10">
        <f>IF('Базовые цены с учетом расхода'!S14&gt;0,'Базовые цены с учетом расхода'!S14,IF('Базовые цены с учетом расхода'!S14&lt;0,'Базовые цены с учетом расхода'!S14,""))</f>
      </c>
      <c r="K131" s="10">
        <f>IF('Текущие цены с учетом расхода'!S14&gt;0,'Текущие цены с учетом расхода'!S14,IF('Текущие цены с учетом расхода'!S14&lt;0,'Текущие цены с учетом расхода'!S14,""))</f>
      </c>
      <c r="N131" s="2" t="s">
        <v>58</v>
      </c>
    </row>
    <row r="132" spans="1:12" ht="73.5">
      <c r="A132" s="18" t="s">
        <v>76</v>
      </c>
      <c r="B132" s="19" t="s">
        <v>77</v>
      </c>
      <c r="C132" s="19" t="s">
        <v>78</v>
      </c>
      <c r="D132" s="18" t="s">
        <v>39</v>
      </c>
      <c r="E132" s="15">
        <v>2</v>
      </c>
      <c r="F132" s="20">
        <f>'Базовые цены за единицу без нач'!B12</f>
        <v>142.85</v>
      </c>
      <c r="G132" s="15"/>
      <c r="H132" s="15"/>
      <c r="I132" s="21" t="s">
        <v>79</v>
      </c>
      <c r="J132" s="15"/>
      <c r="K132" s="15"/>
      <c r="L132" s="15"/>
    </row>
    <row r="133" spans="3:14" ht="10.5">
      <c r="C133" s="12" t="s">
        <v>29</v>
      </c>
      <c r="F133" s="10">
        <v>14.4</v>
      </c>
      <c r="G133" s="3"/>
      <c r="H133" s="10">
        <f>'Базовые цены с учетом расхода'!C15</f>
        <v>28.8</v>
      </c>
      <c r="J133" s="13">
        <v>26.22</v>
      </c>
      <c r="K133" s="10">
        <f>'Текущие цены с учетом расхода'!C15</f>
        <v>755.14</v>
      </c>
      <c r="M133" s="1" t="s">
        <v>30</v>
      </c>
      <c r="N133" s="1" t="s">
        <v>31</v>
      </c>
    </row>
    <row r="134" spans="3:14" ht="10.5">
      <c r="C134" s="12" t="s">
        <v>35</v>
      </c>
      <c r="F134" s="10">
        <v>128.45</v>
      </c>
      <c r="G134" s="3"/>
      <c r="H134" s="10">
        <f>'Базовые цены с учетом расхода'!F15</f>
        <v>256.9</v>
      </c>
      <c r="J134" s="13">
        <v>7.06</v>
      </c>
      <c r="K134" s="10">
        <f>'Текущие цены с учетом расхода'!F15</f>
        <v>1813.72</v>
      </c>
      <c r="M134" s="1" t="s">
        <v>30</v>
      </c>
      <c r="N134" s="1" t="s">
        <v>36</v>
      </c>
    </row>
    <row r="135" spans="3:11" ht="10.5" hidden="1">
      <c r="C135" s="12" t="s">
        <v>29</v>
      </c>
      <c r="H135" s="1">
        <v>28.8</v>
      </c>
      <c r="K135" s="1">
        <v>755.14</v>
      </c>
    </row>
    <row r="136" ht="10.5" hidden="1">
      <c r="C136" s="12" t="s">
        <v>32</v>
      </c>
    </row>
    <row r="137" ht="10.5" hidden="1">
      <c r="C137" s="12" t="s">
        <v>33</v>
      </c>
    </row>
    <row r="138" spans="3:11" ht="10.5" hidden="1">
      <c r="C138" s="12" t="s">
        <v>40</v>
      </c>
      <c r="H138" s="1">
        <v>256.9</v>
      </c>
      <c r="K138" s="1">
        <v>1813.71</v>
      </c>
    </row>
    <row r="139" ht="31.5" hidden="1">
      <c r="C139" s="12" t="s">
        <v>41</v>
      </c>
    </row>
    <row r="140" spans="3:14" ht="21" hidden="1">
      <c r="C140" s="12" t="s">
        <v>42</v>
      </c>
      <c r="F140" s="14"/>
      <c r="J140" s="14"/>
      <c r="M140" s="1" t="s">
        <v>43</v>
      </c>
      <c r="N140" s="1" t="s">
        <v>36</v>
      </c>
    </row>
    <row r="141" ht="21" hidden="1">
      <c r="C141" s="12" t="s">
        <v>44</v>
      </c>
    </row>
    <row r="142" ht="21" hidden="1">
      <c r="C142" s="12" t="s">
        <v>45</v>
      </c>
    </row>
    <row r="143" ht="21" hidden="1">
      <c r="C143" s="12" t="s">
        <v>46</v>
      </c>
    </row>
    <row r="144" spans="3:14" ht="21">
      <c r="C144" s="12" t="s">
        <v>346</v>
      </c>
      <c r="F144" s="1">
        <v>94.5</v>
      </c>
      <c r="H144" s="10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27.22</v>
      </c>
      <c r="J144" s="1">
        <v>80.33</v>
      </c>
      <c r="K144" s="10">
        <f>IF('Текущие цены с учетом расхода'!N15&gt;0,'Текущие цены с учетом расхода'!N15,IF('Текущие цены с учетом расхода'!N15&lt;0,'Текущие цены с учетом расхода'!N15,""))</f>
        <v>606.6</v>
      </c>
      <c r="N144" s="2" t="s">
        <v>48</v>
      </c>
    </row>
    <row r="145" spans="3:14" ht="10.5" hidden="1">
      <c r="C145" s="12" t="s">
        <v>49</v>
      </c>
      <c r="F145" s="1">
        <v>94.5</v>
      </c>
      <c r="H145" s="10">
        <f>IF('Базовые цены с учетом расхода'!P15&gt;0,'Базовые цены с учетом расхода'!P15,IF('Базовые цены с учетом расхода'!P15&lt;0,'Базовые цены с учетом расхода'!P15,""))</f>
        <v>27.22</v>
      </c>
      <c r="J145" s="1">
        <v>80.33</v>
      </c>
      <c r="K145" s="10">
        <f>IF('Текущие цены с учетом расхода'!P15&gt;0,'Текущие цены с учетом расхода'!P15,IF('Текущие цены с учетом расхода'!P15&lt;0,'Текущие цены с учетом расхода'!P15,""))</f>
        <v>606.6</v>
      </c>
      <c r="N145" s="2" t="s">
        <v>50</v>
      </c>
    </row>
    <row r="146" spans="3:14" ht="10.5" hidden="1">
      <c r="C146" s="12" t="s">
        <v>51</v>
      </c>
      <c r="H146" s="10">
        <f>IF('Базовые цены с учетом расхода'!Q15&gt;0,'Базовые цены с учетом расхода'!Q15,IF('Базовые цены с учетом расхода'!Q15&lt;0,'Базовые цены с учетом расхода'!Q15,""))</f>
      </c>
      <c r="K146" s="10">
        <f>IF('Текущие цены с учетом расхода'!Q15&gt;0,'Текущие цены с учетом расхода'!Q15,IF('Текущие цены с учетом расхода'!Q15&lt;0,'Текущие цены с учетом расхода'!Q15,""))</f>
      </c>
      <c r="N146" s="2" t="s">
        <v>52</v>
      </c>
    </row>
    <row r="147" spans="3:14" ht="21">
      <c r="C147" s="12" t="s">
        <v>347</v>
      </c>
      <c r="F147" s="1">
        <v>46.75</v>
      </c>
      <c r="H147" s="10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13.46</v>
      </c>
      <c r="J147" s="1">
        <v>37.4</v>
      </c>
      <c r="K147" s="10">
        <f>IF('Текущие цены с учетом расхода'!O15&gt;0,'Текущие цены с учетом расхода'!O15,IF('Текущие цены с учетом расхода'!O15&lt;0,'Текущие цены с учетом расхода'!O15,""))</f>
        <v>282.42</v>
      </c>
      <c r="N147" s="2" t="s">
        <v>54</v>
      </c>
    </row>
    <row r="148" spans="3:14" ht="10.5" hidden="1">
      <c r="C148" s="12" t="s">
        <v>55</v>
      </c>
      <c r="F148" s="1">
        <v>46.75</v>
      </c>
      <c r="H148" s="10">
        <f>IF('Базовые цены с учетом расхода'!R15&gt;0,'Базовые цены с учетом расхода'!R15,IF('Базовые цены с учетом расхода'!R15&lt;0,'Базовые цены с учетом расхода'!R15,""))</f>
        <v>13.46</v>
      </c>
      <c r="J148" s="1">
        <v>37.4</v>
      </c>
      <c r="K148" s="10">
        <f>IF('Текущие цены с учетом расхода'!R15&gt;0,'Текущие цены с учетом расхода'!R15,IF('Текущие цены с учетом расхода'!R15&lt;0,'Текущие цены с учетом расхода'!R15,""))</f>
        <v>282.42</v>
      </c>
      <c r="N148" s="2" t="s">
        <v>56</v>
      </c>
    </row>
    <row r="149" spans="3:14" ht="10.5" hidden="1">
      <c r="C149" s="12" t="s">
        <v>57</v>
      </c>
      <c r="H149" s="10">
        <f>IF('Базовые цены с учетом расхода'!S15&gt;0,'Базовые цены с учетом расхода'!S15,IF('Базовые цены с учетом расхода'!S15&lt;0,'Базовые цены с учетом расхода'!S15,""))</f>
      </c>
      <c r="K149" s="10">
        <f>IF('Текущие цены с учетом расхода'!S15&gt;0,'Текущие цены с учетом расхода'!S15,IF('Текущие цены с учетом расхода'!S15&lt;0,'Текущие цены с учетом расхода'!S15,""))</f>
      </c>
      <c r="N149" s="2" t="s">
        <v>58</v>
      </c>
    </row>
    <row r="150" spans="3:14" ht="10.5">
      <c r="C150" s="12" t="s">
        <v>59</v>
      </c>
      <c r="D150" s="2" t="s">
        <v>60</v>
      </c>
      <c r="E150" s="1">
        <f>'Базовые цены за единицу'!I15</f>
        <v>1.55</v>
      </c>
      <c r="L150" s="1">
        <f>'Текущие цены с учетом расхода'!I15</f>
        <v>3.1</v>
      </c>
      <c r="M150" s="1" t="s">
        <v>61</v>
      </c>
      <c r="N150" s="1" t="s">
        <v>61</v>
      </c>
    </row>
    <row r="151" spans="6:12" ht="10.5">
      <c r="F151" s="15"/>
      <c r="G151" s="15"/>
      <c r="H151" s="16">
        <f>ROUND(SUMIF(M132:M150,"=sum",H132:H150)+IF(H144="",'Базовые цены с учетом расхода'!N15,H144)+IF(H147="",'Базовые цены с учетом расхода'!O15,H147),2)</f>
        <v>326.38</v>
      </c>
      <c r="I151" s="15"/>
      <c r="J151" s="15"/>
      <c r="K151" s="16">
        <f>ROUND(SUMIF(M132:M150,"=sum",K132:K150)+IF(K144="",'Текущие цены с учетом расхода'!N15,K144)+IF(K147="",'Текущие цены с учетом расхода'!O15,K147),2)</f>
        <v>3457.88</v>
      </c>
      <c r="L151" s="17">
        <f>ОКРУГЛВСЕ(SUMIF(N132:N150,"=Г",L132:L150),8)</f>
        <v>3.1</v>
      </c>
    </row>
    <row r="152" spans="1:13" ht="10.5">
      <c r="A152" s="18" t="s">
        <v>80</v>
      </c>
      <c r="B152" s="19" t="s">
        <v>342</v>
      </c>
      <c r="C152" s="19" t="s">
        <v>81</v>
      </c>
      <c r="D152" s="18" t="s">
        <v>75</v>
      </c>
      <c r="E152" s="15">
        <v>11</v>
      </c>
      <c r="F152" s="20">
        <f>'Базовые цены за единицу без нач'!B13</f>
        <v>89.83</v>
      </c>
      <c r="G152" s="18"/>
      <c r="H152" s="20">
        <f>'Базовые цены с учетом расхода'!B16</f>
        <v>988.13</v>
      </c>
      <c r="I152" s="21"/>
      <c r="J152" s="22">
        <v>1</v>
      </c>
      <c r="K152" s="20">
        <f>'Текущие цены с учетом расхода'!B16</f>
        <v>988.13</v>
      </c>
      <c r="L152" s="15"/>
      <c r="M152" s="1" t="s">
        <v>30</v>
      </c>
    </row>
    <row r="153" ht="10.5" hidden="1">
      <c r="C153" s="12" t="s">
        <v>29</v>
      </c>
    </row>
    <row r="154" ht="10.5" hidden="1">
      <c r="C154" s="12" t="s">
        <v>32</v>
      </c>
    </row>
    <row r="155" ht="10.5" hidden="1">
      <c r="C155" s="12" t="s">
        <v>33</v>
      </c>
    </row>
    <row r="156" spans="3:11" ht="10.5" hidden="1">
      <c r="C156" s="12" t="s">
        <v>40</v>
      </c>
      <c r="H156" s="1">
        <v>988.13</v>
      </c>
      <c r="K156" s="1">
        <v>988.13</v>
      </c>
    </row>
    <row r="157" ht="31.5" hidden="1">
      <c r="C157" s="12" t="s">
        <v>41</v>
      </c>
    </row>
    <row r="158" spans="3:14" ht="21" hidden="1">
      <c r="C158" s="12" t="s">
        <v>42</v>
      </c>
      <c r="F158" s="14"/>
      <c r="J158" s="14"/>
      <c r="M158" s="1" t="s">
        <v>43</v>
      </c>
      <c r="N158" s="1" t="s">
        <v>36</v>
      </c>
    </row>
    <row r="159" ht="21" hidden="1">
      <c r="C159" s="12" t="s">
        <v>44</v>
      </c>
    </row>
    <row r="160" ht="21" hidden="1">
      <c r="C160" s="12" t="s">
        <v>45</v>
      </c>
    </row>
    <row r="161" ht="21" hidden="1">
      <c r="C161" s="12" t="s">
        <v>46</v>
      </c>
    </row>
    <row r="162" spans="3:14" ht="10.5" hidden="1">
      <c r="C162" s="12" t="s">
        <v>47</v>
      </c>
      <c r="H162" s="10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K162" s="10">
        <f>IF('Текущие цены с учетом расхода'!N16&gt;0,'Текущие цены с учетом расхода'!N16,IF('Текущие цены с учетом расхода'!N16&lt;0,'Текущие цены с учетом расхода'!N16,""))</f>
      </c>
      <c r="N162" s="2" t="s">
        <v>48</v>
      </c>
    </row>
    <row r="163" spans="3:14" ht="10.5" hidden="1">
      <c r="C163" s="12" t="s">
        <v>49</v>
      </c>
      <c r="H163" s="10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</c>
      <c r="K163" s="10">
        <f>IF('Текущие цены с учетом расхода'!P16&gt;0,'Текущие цены с учетом расхода'!P16,IF('Текущие цены с учетом расхода'!P16&lt;0,'Текущие цены с учетом расхода'!P16,""))</f>
      </c>
      <c r="N163" s="2" t="s">
        <v>50</v>
      </c>
    </row>
    <row r="164" spans="3:14" ht="10.5" hidden="1">
      <c r="C164" s="12" t="s">
        <v>51</v>
      </c>
      <c r="H164" s="10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</c>
      <c r="K164" s="10">
        <f>IF('Текущие цены с учетом расхода'!Q16&gt;0,'Текущие цены с учетом расхода'!Q16,IF('Текущие цены с учетом расхода'!Q16&lt;0,'Текущие цены с учетом расхода'!Q16,""))</f>
      </c>
      <c r="N164" s="2" t="s">
        <v>52</v>
      </c>
    </row>
    <row r="165" spans="3:14" ht="21" hidden="1">
      <c r="C165" s="12" t="s">
        <v>53</v>
      </c>
      <c r="H165" s="10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K165" s="10">
        <f>IF('Текущие цены с учетом расхода'!O16&gt;0,'Текущие цены с учетом расхода'!O16,IF('Текущие цены с учетом расхода'!O16&lt;0,'Текущие цены с учетом расхода'!O16,""))</f>
      </c>
      <c r="N165" s="2" t="s">
        <v>54</v>
      </c>
    </row>
    <row r="166" spans="3:14" ht="10.5" hidden="1">
      <c r="C166" s="12" t="s">
        <v>55</v>
      </c>
      <c r="H166" s="10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</c>
      <c r="K166" s="10">
        <f>IF('Текущие цены с учетом расхода'!R16&gt;0,'Текущие цены с учетом расхода'!R16,IF('Текущие цены с учетом расхода'!R16&lt;0,'Текущие цены с учетом расхода'!R16,""))</f>
      </c>
      <c r="N166" s="2" t="s">
        <v>56</v>
      </c>
    </row>
    <row r="167" spans="3:14" ht="10.5" hidden="1">
      <c r="C167" s="12" t="s">
        <v>57</v>
      </c>
      <c r="H167" s="10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</c>
      <c r="K167" s="10">
        <f>IF('Текущие цены с учетом расхода'!S16&gt;0,'Текущие цены с учетом расхода'!S16,IF('Текущие цены с учетом расхода'!S16&lt;0,'Текущие цены с учетом расхода'!S16,""))</f>
      </c>
      <c r="N167" s="2" t="s">
        <v>58</v>
      </c>
    </row>
    <row r="168" spans="1:12" ht="10.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2:24" ht="10.5" hidden="1">
      <c r="B169" s="23" t="s">
        <v>104</v>
      </c>
      <c r="H169" s="25">
        <f>'Базовые концовки'!F38</f>
        <v>0</v>
      </c>
      <c r="K169" s="25">
        <f>'Текущие концовки'!F38</f>
        <v>0</v>
      </c>
      <c r="R169" s="26">
        <f>'Текущие концовки'!G38</f>
        <v>0</v>
      </c>
      <c r="S169" s="26">
        <f>'Текущие концовки'!H38</f>
        <v>0</v>
      </c>
      <c r="T169" s="26">
        <f>'Текущие концовки'!I38</f>
        <v>0</v>
      </c>
      <c r="V169" s="5">
        <f>'Текущие концовки'!K38</f>
        <v>0</v>
      </c>
      <c r="W169" s="26">
        <f>'Текущие концовки'!L38</f>
        <v>0</v>
      </c>
      <c r="X169" s="26">
        <f>'Текущие концовки'!M38</f>
        <v>0</v>
      </c>
    </row>
    <row r="170" spans="2:24" ht="10.5" hidden="1">
      <c r="B170" s="23" t="s">
        <v>97</v>
      </c>
      <c r="H170" s="25">
        <f>'Базовые концовки'!F39</f>
        <v>0</v>
      </c>
      <c r="K170" s="25">
        <f>'Текущие концовки'!F39</f>
        <v>0</v>
      </c>
      <c r="R170" s="26"/>
      <c r="S170" s="26"/>
      <c r="T170" s="26"/>
      <c r="V170" s="5"/>
      <c r="W170" s="26"/>
      <c r="X170" s="26"/>
    </row>
    <row r="171" spans="2:24" ht="10.5" hidden="1">
      <c r="B171" s="23" t="s">
        <v>98</v>
      </c>
      <c r="H171" s="25">
        <f>'Базовые концовки'!F40</f>
        <v>0</v>
      </c>
      <c r="K171" s="25">
        <f>'Текущие концовки'!F40</f>
        <v>0</v>
      </c>
      <c r="R171" s="26"/>
      <c r="S171" s="26"/>
      <c r="T171" s="26"/>
      <c r="V171" s="5"/>
      <c r="W171" s="26"/>
      <c r="X171" s="26"/>
    </row>
    <row r="172" spans="2:24" ht="10.5" hidden="1">
      <c r="B172" s="23" t="s">
        <v>99</v>
      </c>
      <c r="H172" s="25">
        <f>'Базовые концовки'!F41</f>
        <v>0</v>
      </c>
      <c r="K172" s="25">
        <f>'Текущие концовки'!F41</f>
        <v>0</v>
      </c>
      <c r="R172" s="26"/>
      <c r="S172" s="26"/>
      <c r="T172" s="26"/>
      <c r="V172" s="5"/>
      <c r="W172" s="26"/>
      <c r="X172" s="26"/>
    </row>
    <row r="173" spans="2:24" ht="10.5" hidden="1">
      <c r="B173" s="23" t="s">
        <v>105</v>
      </c>
      <c r="H173" s="25">
        <f>'Базовые концовки'!F42</f>
        <v>0</v>
      </c>
      <c r="K173" s="25">
        <f>'Текущие концовки'!F42</f>
        <v>0</v>
      </c>
      <c r="R173" s="26"/>
      <c r="S173" s="26"/>
      <c r="T173" s="26"/>
      <c r="V173" s="5"/>
      <c r="W173" s="26"/>
      <c r="X173" s="26"/>
    </row>
    <row r="174" spans="2:24" ht="10.5" hidden="1">
      <c r="B174" s="23" t="s">
        <v>106</v>
      </c>
      <c r="H174" s="25">
        <f>'Базовые концовки'!F43</f>
        <v>0</v>
      </c>
      <c r="K174" s="25">
        <f>'Текущие концовки'!F43</f>
        <v>0</v>
      </c>
      <c r="R174" s="26">
        <f>'Текущие концовки'!G43</f>
        <v>0</v>
      </c>
      <c r="S174" s="26">
        <f>'Текущие концовки'!H43</f>
        <v>0</v>
      </c>
      <c r="T174" s="26">
        <f>'Текущие концовки'!I43</f>
        <v>0</v>
      </c>
      <c r="V174" s="5">
        <f>'Текущие концовки'!K43</f>
        <v>0</v>
      </c>
      <c r="W174" s="26">
        <f>'Текущие концовки'!L43</f>
        <v>0</v>
      </c>
      <c r="X174" s="26">
        <f>'Текущие концовки'!M43</f>
        <v>0</v>
      </c>
    </row>
    <row r="175" spans="2:24" ht="10.5" hidden="1">
      <c r="B175" s="23" t="s">
        <v>93</v>
      </c>
      <c r="H175" s="25"/>
      <c r="K175" s="25"/>
      <c r="R175" s="26"/>
      <c r="S175" s="26"/>
      <c r="T175" s="26"/>
      <c r="V175" s="5"/>
      <c r="W175" s="26"/>
      <c r="X175" s="26"/>
    </row>
    <row r="176" spans="2:24" ht="10.5" hidden="1">
      <c r="B176" s="23" t="s">
        <v>107</v>
      </c>
      <c r="H176" s="25">
        <f>'Базовые концовки'!F45</f>
        <v>0</v>
      </c>
      <c r="K176" s="25">
        <f>'Текущие концовки'!F45</f>
        <v>0</v>
      </c>
      <c r="R176" s="26">
        <f>'Текущие концовки'!G45</f>
        <v>0</v>
      </c>
      <c r="S176" s="26">
        <f>'Текущие концовки'!H45</f>
        <v>0</v>
      </c>
      <c r="T176" s="26">
        <f>'Текущие концовки'!I45</f>
        <v>0</v>
      </c>
      <c r="V176" s="5">
        <f>'Текущие концовки'!K45</f>
        <v>0</v>
      </c>
      <c r="W176" s="26">
        <f>'Текущие концовки'!L45</f>
        <v>0</v>
      </c>
      <c r="X176" s="26">
        <f>'Текущие концовки'!M45</f>
        <v>0</v>
      </c>
    </row>
    <row r="177" spans="2:24" ht="10.5" hidden="1">
      <c r="B177" s="23" t="s">
        <v>97</v>
      </c>
      <c r="H177" s="25">
        <f>'Базовые концовки'!F46</f>
        <v>0</v>
      </c>
      <c r="K177" s="25">
        <f>'Текущие концовки'!F46</f>
        <v>0</v>
      </c>
      <c r="R177" s="26"/>
      <c r="S177" s="26"/>
      <c r="T177" s="26"/>
      <c r="V177" s="5"/>
      <c r="W177" s="26"/>
      <c r="X177" s="26"/>
    </row>
    <row r="178" spans="2:24" ht="10.5" hidden="1">
      <c r="B178" s="23" t="s">
        <v>98</v>
      </c>
      <c r="H178" s="25">
        <f>'Базовые концовки'!F47</f>
        <v>0</v>
      </c>
      <c r="K178" s="25">
        <f>'Текущие концовки'!F47</f>
        <v>0</v>
      </c>
      <c r="R178" s="26"/>
      <c r="S178" s="26"/>
      <c r="T178" s="26"/>
      <c r="V178" s="5"/>
      <c r="W178" s="26"/>
      <c r="X178" s="26"/>
    </row>
    <row r="179" spans="2:24" ht="10.5" hidden="1">
      <c r="B179" s="23" t="s">
        <v>99</v>
      </c>
      <c r="H179" s="25">
        <f>'Базовые концовки'!F48</f>
        <v>0</v>
      </c>
      <c r="K179" s="25">
        <f>'Текущие концовки'!F48</f>
        <v>0</v>
      </c>
      <c r="R179" s="26"/>
      <c r="S179" s="26"/>
      <c r="T179" s="26"/>
      <c r="V179" s="5"/>
      <c r="W179" s="26"/>
      <c r="X179" s="26"/>
    </row>
    <row r="180" spans="2:24" ht="10.5" hidden="1">
      <c r="B180" s="23" t="s">
        <v>90</v>
      </c>
      <c r="H180" s="25">
        <f>'Базовые концовки'!F49</f>
        <v>0</v>
      </c>
      <c r="K180" s="25">
        <f>'Текущие концовки'!F49</f>
        <v>0</v>
      </c>
      <c r="R180" s="26"/>
      <c r="S180" s="26"/>
      <c r="T180" s="26"/>
      <c r="V180" s="5"/>
      <c r="W180" s="26"/>
      <c r="X180" s="26"/>
    </row>
    <row r="181" spans="2:24" ht="10.5" hidden="1">
      <c r="B181" s="23" t="s">
        <v>108</v>
      </c>
      <c r="H181" s="25">
        <f>'Базовые концовки'!F50</f>
        <v>0</v>
      </c>
      <c r="K181" s="25">
        <f>'Текущие концовки'!F50</f>
        <v>0</v>
      </c>
      <c r="R181" s="26"/>
      <c r="S181" s="26"/>
      <c r="T181" s="26"/>
      <c r="V181" s="5"/>
      <c r="W181" s="26"/>
      <c r="X181" s="26"/>
    </row>
    <row r="182" spans="2:24" ht="10.5" hidden="1">
      <c r="B182" s="23" t="s">
        <v>109</v>
      </c>
      <c r="H182" s="25">
        <f>'Базовые концовки'!F51</f>
        <v>0</v>
      </c>
      <c r="K182" s="25">
        <f>'Текущие концовки'!F51</f>
        <v>0</v>
      </c>
      <c r="R182" s="26">
        <f>'Текущие концовки'!G51</f>
        <v>0</v>
      </c>
      <c r="S182" s="26">
        <f>'Текущие концовки'!H51</f>
        <v>0</v>
      </c>
      <c r="T182" s="26">
        <f>'Текущие концовки'!I51</f>
        <v>0</v>
      </c>
      <c r="V182" s="5">
        <f>'Текущие концовки'!K51</f>
        <v>0</v>
      </c>
      <c r="W182" s="26">
        <f>'Текущие концовки'!L51</f>
        <v>0</v>
      </c>
      <c r="X182" s="26">
        <f>'Текущие концовки'!M51</f>
        <v>0</v>
      </c>
    </row>
    <row r="183" spans="2:24" ht="10.5" hidden="1">
      <c r="B183" s="23" t="s">
        <v>97</v>
      </c>
      <c r="H183" s="25">
        <f>'Базовые концовки'!F52</f>
        <v>0</v>
      </c>
      <c r="K183" s="25">
        <f>'Текущие концовки'!F52</f>
        <v>0</v>
      </c>
      <c r="R183" s="26"/>
      <c r="S183" s="26"/>
      <c r="T183" s="26"/>
      <c r="V183" s="5"/>
      <c r="W183" s="26"/>
      <c r="X183" s="26"/>
    </row>
    <row r="184" spans="2:24" ht="10.5" hidden="1">
      <c r="B184" s="23" t="s">
        <v>98</v>
      </c>
      <c r="H184" s="25">
        <f>'Базовые концовки'!F53</f>
        <v>0</v>
      </c>
      <c r="K184" s="25">
        <f>'Текущие концовки'!F53</f>
        <v>0</v>
      </c>
      <c r="R184" s="26"/>
      <c r="S184" s="26"/>
      <c r="T184" s="26"/>
      <c r="V184" s="5"/>
      <c r="W184" s="26"/>
      <c r="X184" s="26"/>
    </row>
    <row r="185" spans="2:24" ht="10.5" hidden="1">
      <c r="B185" s="23" t="s">
        <v>99</v>
      </c>
      <c r="H185" s="25">
        <f>'Базовые концовки'!F54</f>
        <v>0</v>
      </c>
      <c r="K185" s="25">
        <f>'Текущие концовки'!F54</f>
        <v>0</v>
      </c>
      <c r="R185" s="26"/>
      <c r="S185" s="26"/>
      <c r="T185" s="26"/>
      <c r="V185" s="5"/>
      <c r="W185" s="26"/>
      <c r="X185" s="26"/>
    </row>
    <row r="186" spans="2:24" ht="10.5" hidden="1">
      <c r="B186" s="23" t="s">
        <v>110</v>
      </c>
      <c r="H186" s="25">
        <f>'Базовые концовки'!F55</f>
        <v>0</v>
      </c>
      <c r="K186" s="25">
        <f>'Текущие концовки'!F55</f>
        <v>0</v>
      </c>
      <c r="R186" s="26"/>
      <c r="S186" s="26"/>
      <c r="T186" s="26"/>
      <c r="V186" s="5"/>
      <c r="W186" s="26"/>
      <c r="X186" s="26"/>
    </row>
    <row r="187" spans="2:24" ht="10.5" hidden="1">
      <c r="B187" s="23" t="s">
        <v>111</v>
      </c>
      <c r="H187" s="25">
        <f>'Базовые концовки'!F56</f>
        <v>0</v>
      </c>
      <c r="K187" s="25">
        <f>'Текущие концовки'!F56</f>
        <v>0</v>
      </c>
      <c r="R187" s="26">
        <f>'Текущие концовки'!G56</f>
        <v>0</v>
      </c>
      <c r="S187" s="26">
        <f>'Текущие концовки'!H56</f>
        <v>0</v>
      </c>
      <c r="T187" s="26">
        <f>'Текущие концовки'!I56</f>
        <v>0</v>
      </c>
      <c r="V187" s="5">
        <f>'Текущие концовки'!K56</f>
        <v>0</v>
      </c>
      <c r="W187" s="26">
        <f>'Текущие концовки'!L56</f>
        <v>0</v>
      </c>
      <c r="X187" s="26">
        <f>'Текущие концовки'!M56</f>
        <v>0</v>
      </c>
    </row>
    <row r="188" spans="2:24" ht="10.5" hidden="1">
      <c r="B188" s="23" t="s">
        <v>97</v>
      </c>
      <c r="H188" s="25">
        <f>'Базовые концовки'!F57</f>
        <v>0</v>
      </c>
      <c r="K188" s="25">
        <f>'Текущие концовки'!F57</f>
        <v>0</v>
      </c>
      <c r="R188" s="26"/>
      <c r="S188" s="26"/>
      <c r="T188" s="26"/>
      <c r="V188" s="5"/>
      <c r="W188" s="26"/>
      <c r="X188" s="26"/>
    </row>
    <row r="189" spans="2:24" ht="10.5" hidden="1">
      <c r="B189" s="23" t="s">
        <v>98</v>
      </c>
      <c r="H189" s="25">
        <f>'Базовые концовки'!F58</f>
        <v>0</v>
      </c>
      <c r="K189" s="25">
        <f>'Текущие концовки'!F58</f>
        <v>0</v>
      </c>
      <c r="R189" s="26"/>
      <c r="S189" s="26"/>
      <c r="T189" s="26"/>
      <c r="V189" s="5"/>
      <c r="W189" s="26"/>
      <c r="X189" s="26"/>
    </row>
    <row r="190" spans="2:24" ht="10.5" hidden="1">
      <c r="B190" s="23" t="s">
        <v>99</v>
      </c>
      <c r="H190" s="25">
        <f>'Базовые концовки'!F59</f>
        <v>0</v>
      </c>
      <c r="K190" s="25">
        <f>'Текущие концовки'!F59</f>
        <v>0</v>
      </c>
      <c r="R190" s="26"/>
      <c r="S190" s="26"/>
      <c r="T190" s="26"/>
      <c r="V190" s="5"/>
      <c r="W190" s="26"/>
      <c r="X190" s="26"/>
    </row>
    <row r="191" spans="2:24" ht="10.5" hidden="1">
      <c r="B191" s="23" t="s">
        <v>112</v>
      </c>
      <c r="H191" s="25">
        <f>'Базовые концовки'!F60</f>
        <v>0</v>
      </c>
      <c r="K191" s="25">
        <f>'Текущие концовки'!F60</f>
        <v>0</v>
      </c>
      <c r="R191" s="26"/>
      <c r="S191" s="26"/>
      <c r="T191" s="26"/>
      <c r="V191" s="5"/>
      <c r="W191" s="26"/>
      <c r="X191" s="26"/>
    </row>
    <row r="192" spans="2:24" ht="10.5" hidden="1">
      <c r="B192" s="23" t="s">
        <v>113</v>
      </c>
      <c r="H192" s="25">
        <f>'Базовые концовки'!F61</f>
        <v>0</v>
      </c>
      <c r="K192" s="25">
        <f>'Текущие концовки'!F61</f>
        <v>0</v>
      </c>
      <c r="R192" s="26">
        <f>'Текущие концовки'!G61</f>
        <v>0</v>
      </c>
      <c r="S192" s="26">
        <f>'Текущие концовки'!H61</f>
        <v>0</v>
      </c>
      <c r="T192" s="26">
        <f>'Текущие концовки'!I61</f>
        <v>0</v>
      </c>
      <c r="V192" s="5">
        <f>'Текущие концовки'!K61</f>
        <v>0</v>
      </c>
      <c r="W192" s="26">
        <f>'Текущие концовки'!L61</f>
        <v>0</v>
      </c>
      <c r="X192" s="26">
        <f>'Текущие концовки'!M61</f>
        <v>0</v>
      </c>
    </row>
    <row r="193" spans="2:24" ht="10.5" hidden="1">
      <c r="B193" s="23" t="s">
        <v>93</v>
      </c>
      <c r="H193" s="25"/>
      <c r="K193" s="25"/>
      <c r="R193" s="26"/>
      <c r="S193" s="26"/>
      <c r="T193" s="26"/>
      <c r="V193" s="5"/>
      <c r="W193" s="26"/>
      <c r="X193" s="26"/>
    </row>
    <row r="194" spans="2:24" ht="10.5" hidden="1">
      <c r="B194" s="23" t="s">
        <v>102</v>
      </c>
      <c r="H194" s="25">
        <f>'Базовые концовки'!F63</f>
        <v>0</v>
      </c>
      <c r="K194" s="25">
        <f>'Текущие концовки'!F63</f>
        <v>0</v>
      </c>
      <c r="R194" s="26"/>
      <c r="S194" s="26"/>
      <c r="T194" s="26"/>
      <c r="V194" s="5"/>
      <c r="W194" s="26"/>
      <c r="X194" s="26"/>
    </row>
    <row r="195" spans="2:24" ht="10.5" hidden="1">
      <c r="B195" s="23" t="s">
        <v>97</v>
      </c>
      <c r="H195" s="25">
        <f>'Базовые концовки'!F64</f>
        <v>0</v>
      </c>
      <c r="K195" s="25">
        <f>'Текущие концовки'!F64</f>
        <v>0</v>
      </c>
      <c r="R195" s="26"/>
      <c r="S195" s="26"/>
      <c r="T195" s="26"/>
      <c r="V195" s="5"/>
      <c r="W195" s="26"/>
      <c r="X195" s="26"/>
    </row>
    <row r="196" spans="2:24" ht="10.5" hidden="1">
      <c r="B196" s="23" t="s">
        <v>98</v>
      </c>
      <c r="H196" s="25">
        <f>'Базовые концовки'!F65</f>
        <v>0</v>
      </c>
      <c r="K196" s="25">
        <f>'Текущие концовки'!F65</f>
        <v>0</v>
      </c>
      <c r="R196" s="26"/>
      <c r="S196" s="26"/>
      <c r="T196" s="26"/>
      <c r="V196" s="5"/>
      <c r="W196" s="26"/>
      <c r="X196" s="26"/>
    </row>
    <row r="197" spans="2:24" ht="10.5" hidden="1">
      <c r="B197" s="23" t="s">
        <v>99</v>
      </c>
      <c r="H197" s="25">
        <f>'Базовые концовки'!F66</f>
        <v>0</v>
      </c>
      <c r="K197" s="25">
        <f>'Текущие концовки'!F66</f>
        <v>0</v>
      </c>
      <c r="R197" s="26"/>
      <c r="S197" s="26"/>
      <c r="T197" s="26"/>
      <c r="V197" s="5"/>
      <c r="W197" s="26"/>
      <c r="X197" s="26"/>
    </row>
    <row r="198" spans="2:24" ht="10.5" hidden="1">
      <c r="B198" s="23" t="s">
        <v>114</v>
      </c>
      <c r="H198" s="25">
        <f>'Базовые концовки'!F67</f>
        <v>0</v>
      </c>
      <c r="K198" s="25">
        <f>'Текущие концовки'!F67</f>
        <v>0</v>
      </c>
      <c r="R198" s="26"/>
      <c r="S198" s="26"/>
      <c r="T198" s="26"/>
      <c r="V198" s="5"/>
      <c r="W198" s="26"/>
      <c r="X198" s="26"/>
    </row>
    <row r="199" spans="2:24" ht="10.5" hidden="1">
      <c r="B199" s="23" t="s">
        <v>115</v>
      </c>
      <c r="H199" s="25">
        <f>'Базовые концовки'!F68</f>
        <v>0</v>
      </c>
      <c r="K199" s="25">
        <f>'Текущие концовки'!F68</f>
        <v>0</v>
      </c>
      <c r="R199" s="26">
        <f>'Текущие концовки'!G68</f>
        <v>0</v>
      </c>
      <c r="S199" s="26">
        <f>'Текущие концовки'!H68</f>
        <v>0</v>
      </c>
      <c r="T199" s="26">
        <f>'Текущие концовки'!I68</f>
        <v>0</v>
      </c>
      <c r="V199" s="5">
        <f>'Текущие концовки'!K68</f>
        <v>0</v>
      </c>
      <c r="W199" s="26">
        <f>'Текущие концовки'!L68</f>
        <v>0</v>
      </c>
      <c r="X199" s="26">
        <f>'Текущие концовки'!M68</f>
        <v>0</v>
      </c>
    </row>
    <row r="200" spans="2:24" ht="10.5" hidden="1">
      <c r="B200" s="23" t="s">
        <v>116</v>
      </c>
      <c r="H200" s="25">
        <f>'Базовые концовки'!F69</f>
        <v>0</v>
      </c>
      <c r="K200" s="25">
        <f>'Текущие концовки'!F69</f>
        <v>0</v>
      </c>
      <c r="R200" s="26"/>
      <c r="S200" s="26"/>
      <c r="T200" s="26"/>
      <c r="V200" s="5"/>
      <c r="W200" s="26"/>
      <c r="X200" s="26"/>
    </row>
    <row r="201" spans="2:24" ht="10.5" hidden="1">
      <c r="B201" s="23" t="s">
        <v>117</v>
      </c>
      <c r="H201" s="25">
        <f>'Базовые концовки'!F70</f>
        <v>0</v>
      </c>
      <c r="K201" s="25">
        <f>'Текущие концовки'!F70</f>
        <v>0</v>
      </c>
      <c r="R201" s="26"/>
      <c r="S201" s="26"/>
      <c r="T201" s="26"/>
      <c r="V201" s="5"/>
      <c r="W201" s="26"/>
      <c r="X201" s="26"/>
    </row>
    <row r="202" spans="2:24" ht="10.5" hidden="1">
      <c r="B202" s="23" t="s">
        <v>98</v>
      </c>
      <c r="H202" s="25">
        <f>'Базовые концовки'!F71</f>
        <v>0</v>
      </c>
      <c r="K202" s="25">
        <f>'Текущие концовки'!F71</f>
        <v>0</v>
      </c>
      <c r="R202" s="26"/>
      <c r="S202" s="26"/>
      <c r="T202" s="26"/>
      <c r="V202" s="5"/>
      <c r="W202" s="26"/>
      <c r="X202" s="26"/>
    </row>
    <row r="203" spans="2:24" ht="10.5" hidden="1">
      <c r="B203" s="23" t="s">
        <v>99</v>
      </c>
      <c r="H203" s="25">
        <f>'Базовые концовки'!F72</f>
        <v>0</v>
      </c>
      <c r="K203" s="25">
        <f>'Текущие концовки'!F72</f>
        <v>0</v>
      </c>
      <c r="R203" s="26"/>
      <c r="S203" s="26"/>
      <c r="T203" s="26"/>
      <c r="V203" s="5"/>
      <c r="W203" s="26"/>
      <c r="X203" s="26"/>
    </row>
    <row r="204" spans="2:24" ht="10.5" hidden="1">
      <c r="B204" s="23" t="s">
        <v>118</v>
      </c>
      <c r="H204" s="25">
        <f>'Базовые концовки'!F73</f>
        <v>0</v>
      </c>
      <c r="K204" s="25">
        <f>'Текущие концовки'!F73</f>
        <v>0</v>
      </c>
      <c r="R204" s="26"/>
      <c r="S204" s="26"/>
      <c r="T204" s="26"/>
      <c r="V204" s="5"/>
      <c r="W204" s="26"/>
      <c r="X204" s="26"/>
    </row>
    <row r="205" spans="2:24" ht="10.5" hidden="1">
      <c r="B205" s="23" t="s">
        <v>119</v>
      </c>
      <c r="H205" s="25">
        <f>'Базовые концовки'!F74</f>
        <v>0</v>
      </c>
      <c r="K205" s="25">
        <f>'Текущие концовки'!F74</f>
        <v>0</v>
      </c>
      <c r="R205" s="26">
        <f>'Текущие концовки'!G74</f>
        <v>0</v>
      </c>
      <c r="S205" s="26">
        <f>'Текущие концовки'!H74</f>
        <v>0</v>
      </c>
      <c r="T205" s="26">
        <f>'Текущие концовки'!I74</f>
        <v>0</v>
      </c>
      <c r="V205" s="5">
        <f>'Текущие концовки'!K74</f>
        <v>0</v>
      </c>
      <c r="W205" s="26">
        <f>'Текущие концовки'!L74</f>
        <v>0</v>
      </c>
      <c r="X205" s="26">
        <f>'Текущие концовки'!M74</f>
        <v>0</v>
      </c>
    </row>
    <row r="206" spans="2:24" ht="10.5" hidden="1">
      <c r="B206" s="23" t="s">
        <v>98</v>
      </c>
      <c r="H206" s="25">
        <f>'Базовые концовки'!F75</f>
        <v>0</v>
      </c>
      <c r="K206" s="25">
        <f>'Текущие концовки'!F75</f>
        <v>0</v>
      </c>
      <c r="R206" s="26"/>
      <c r="S206" s="26"/>
      <c r="T206" s="26"/>
      <c r="V206" s="5"/>
      <c r="W206" s="26"/>
      <c r="X206" s="26"/>
    </row>
    <row r="207" spans="2:24" ht="10.5" hidden="1">
      <c r="B207" s="23" t="s">
        <v>99</v>
      </c>
      <c r="H207" s="25">
        <f>'Базовые концовки'!F76</f>
        <v>0</v>
      </c>
      <c r="K207" s="25">
        <f>'Текущие концовки'!F76</f>
        <v>0</v>
      </c>
      <c r="R207" s="26"/>
      <c r="S207" s="26"/>
      <c r="T207" s="26"/>
      <c r="V207" s="5"/>
      <c r="W207" s="26"/>
      <c r="X207" s="26"/>
    </row>
    <row r="208" spans="2:24" ht="10.5" hidden="1">
      <c r="B208" s="23" t="s">
        <v>120</v>
      </c>
      <c r="H208" s="25">
        <f>'Базовые концовки'!F77</f>
        <v>0</v>
      </c>
      <c r="K208" s="25">
        <f>'Текущие концовки'!F77</f>
        <v>0</v>
      </c>
      <c r="R208" s="26"/>
      <c r="S208" s="26"/>
      <c r="T208" s="26"/>
      <c r="V208" s="5"/>
      <c r="W208" s="26"/>
      <c r="X208" s="26"/>
    </row>
    <row r="209" spans="2:24" ht="10.5" hidden="1">
      <c r="B209" s="23" t="s">
        <v>121</v>
      </c>
      <c r="H209" s="25">
        <f>'Базовые концовки'!F78</f>
        <v>0</v>
      </c>
      <c r="K209" s="25">
        <f>'Текущие концовки'!F78</f>
        <v>0</v>
      </c>
      <c r="R209" s="26">
        <f>'Текущие концовки'!G78</f>
        <v>0</v>
      </c>
      <c r="S209" s="26">
        <f>'Текущие концовки'!H78</f>
        <v>0</v>
      </c>
      <c r="T209" s="26">
        <f>'Текущие концовки'!I78</f>
        <v>0</v>
      </c>
      <c r="V209" s="5">
        <f>'Текущие концовки'!K78</f>
        <v>0</v>
      </c>
      <c r="W209" s="26">
        <f>'Текущие концовки'!L78</f>
        <v>0</v>
      </c>
      <c r="X209" s="26">
        <f>'Текущие концовки'!M78</f>
        <v>0</v>
      </c>
    </row>
    <row r="210" spans="2:24" ht="10.5" hidden="1">
      <c r="B210" s="23" t="s">
        <v>97</v>
      </c>
      <c r="H210" s="25">
        <f>'Базовые концовки'!F79</f>
        <v>0</v>
      </c>
      <c r="K210" s="25">
        <f>'Текущие концовки'!F79</f>
        <v>0</v>
      </c>
      <c r="R210" s="26"/>
      <c r="S210" s="26"/>
      <c r="T210" s="26"/>
      <c r="V210" s="5"/>
      <c r="W210" s="26"/>
      <c r="X210" s="26"/>
    </row>
    <row r="211" spans="2:24" ht="10.5" hidden="1">
      <c r="B211" s="23" t="s">
        <v>98</v>
      </c>
      <c r="H211" s="25">
        <f>'Базовые концовки'!F80</f>
        <v>0</v>
      </c>
      <c r="K211" s="25">
        <f>'Текущие концовки'!F80</f>
        <v>0</v>
      </c>
      <c r="R211" s="26"/>
      <c r="S211" s="26"/>
      <c r="T211" s="26"/>
      <c r="V211" s="5"/>
      <c r="W211" s="26"/>
      <c r="X211" s="26"/>
    </row>
    <row r="212" spans="2:24" ht="10.5" hidden="1">
      <c r="B212" s="23" t="s">
        <v>99</v>
      </c>
      <c r="H212" s="25">
        <f>'Базовые концовки'!F81</f>
        <v>0</v>
      </c>
      <c r="K212" s="25">
        <f>'Текущие концовки'!F81</f>
        <v>0</v>
      </c>
      <c r="R212" s="26"/>
      <c r="S212" s="26"/>
      <c r="T212" s="26"/>
      <c r="V212" s="5"/>
      <c r="W212" s="26"/>
      <c r="X212" s="26"/>
    </row>
    <row r="213" spans="2:24" ht="10.5" hidden="1">
      <c r="B213" s="23" t="s">
        <v>122</v>
      </c>
      <c r="H213" s="25">
        <f>'Базовые концовки'!F82</f>
        <v>0</v>
      </c>
      <c r="K213" s="25">
        <f>'Текущие концовки'!F82</f>
        <v>0</v>
      </c>
      <c r="R213" s="26"/>
      <c r="S213" s="26"/>
      <c r="T213" s="26"/>
      <c r="V213" s="5"/>
      <c r="W213" s="26"/>
      <c r="X213" s="26"/>
    </row>
    <row r="214" spans="2:24" ht="10.5" hidden="1">
      <c r="B214" s="23" t="s">
        <v>123</v>
      </c>
      <c r="H214" s="25">
        <f>'Базовые концовки'!F83</f>
        <v>0</v>
      </c>
      <c r="K214" s="25">
        <f>'Текущие концовки'!F83</f>
        <v>0</v>
      </c>
      <c r="R214" s="26">
        <f>'Текущие концовки'!G83</f>
        <v>0</v>
      </c>
      <c r="S214" s="26">
        <f>'Текущие концовки'!H83</f>
        <v>0</v>
      </c>
      <c r="T214" s="26">
        <f>'Текущие концовки'!I83</f>
        <v>0</v>
      </c>
      <c r="V214" s="5">
        <f>'Текущие концовки'!K83</f>
        <v>0</v>
      </c>
      <c r="W214" s="26">
        <f>'Текущие концовки'!L83</f>
        <v>0</v>
      </c>
      <c r="X214" s="26">
        <f>'Текущие концовки'!M83</f>
        <v>0</v>
      </c>
    </row>
    <row r="215" spans="2:24" ht="10.5" hidden="1">
      <c r="B215" s="23" t="s">
        <v>97</v>
      </c>
      <c r="H215" s="25">
        <f>'Базовые концовки'!F84</f>
        <v>0</v>
      </c>
      <c r="K215" s="25">
        <f>'Текущие концовки'!F84</f>
        <v>0</v>
      </c>
      <c r="R215" s="26"/>
      <c r="S215" s="26"/>
      <c r="T215" s="26"/>
      <c r="V215" s="5"/>
      <c r="W215" s="26"/>
      <c r="X215" s="26"/>
    </row>
    <row r="216" spans="2:24" ht="10.5">
      <c r="B216" s="23" t="s">
        <v>344</v>
      </c>
      <c r="E216" s="24"/>
      <c r="H216" s="25">
        <f>'Базовые концовки'!F85</f>
        <v>83309.97</v>
      </c>
      <c r="K216" s="25">
        <f>'Текущие концовки'!F85</f>
        <v>105807.55</v>
      </c>
      <c r="R216" s="26">
        <f>'Текущие концовки'!G85</f>
        <v>0</v>
      </c>
      <c r="S216" s="26">
        <f>'Текущие концовки'!H85</f>
        <v>0</v>
      </c>
      <c r="T216" s="26">
        <f>'Текущие концовки'!I85</f>
        <v>0</v>
      </c>
      <c r="V216" s="5">
        <f>'Текущие концовки'!K85</f>
        <v>0</v>
      </c>
      <c r="W216" s="26">
        <f>'Текущие концовки'!L85</f>
        <v>0</v>
      </c>
      <c r="X216" s="26">
        <f>'Текущие концовки'!M85</f>
        <v>0</v>
      </c>
    </row>
    <row r="217" spans="2:24" ht="10.5" hidden="1">
      <c r="B217" s="23" t="s">
        <v>124</v>
      </c>
      <c r="H217" s="25">
        <f>'Базовые концовки'!F86</f>
        <v>0</v>
      </c>
      <c r="K217" s="25">
        <f>'Текущие концовки'!F86</f>
        <v>0</v>
      </c>
      <c r="R217" s="26"/>
      <c r="S217" s="26"/>
      <c r="T217" s="26"/>
      <c r="V217" s="5"/>
      <c r="W217" s="26"/>
      <c r="X217" s="26"/>
    </row>
    <row r="218" spans="2:24" ht="10.5">
      <c r="B218" s="23" t="s">
        <v>125</v>
      </c>
      <c r="E218" s="24"/>
      <c r="H218" s="25">
        <f>'Базовые концовки'!F87</f>
        <v>250.3</v>
      </c>
      <c r="K218" s="25">
        <f>'Текущие концовки'!F87</f>
        <v>5578.46</v>
      </c>
      <c r="R218" s="26"/>
      <c r="S218" s="26"/>
      <c r="T218" s="26"/>
      <c r="V218" s="5"/>
      <c r="W218" s="26"/>
      <c r="X218" s="26"/>
    </row>
    <row r="219" spans="2:24" ht="10.5">
      <c r="B219" s="23" t="s">
        <v>126</v>
      </c>
      <c r="E219" s="24"/>
      <c r="H219" s="25">
        <f>'Базовые концовки'!F88</f>
        <v>125.95</v>
      </c>
      <c r="K219" s="25">
        <f>'Текущие концовки'!F88</f>
        <v>2641.94</v>
      </c>
      <c r="R219" s="26"/>
      <c r="S219" s="26"/>
      <c r="T219" s="26"/>
      <c r="V219" s="5"/>
      <c r="W219" s="26"/>
      <c r="X219" s="26"/>
    </row>
    <row r="220" spans="2:24" ht="10.5" hidden="1">
      <c r="B220" s="23" t="s">
        <v>41</v>
      </c>
      <c r="H220" s="25">
        <f>'Базовые концовки'!F89</f>
        <v>0</v>
      </c>
      <c r="K220" s="25">
        <f>'Текущие концовки'!F89</f>
        <v>0</v>
      </c>
      <c r="R220" s="26"/>
      <c r="S220" s="26"/>
      <c r="T220" s="26"/>
      <c r="V220" s="5"/>
      <c r="W220" s="26">
        <f>'Текущие концовки'!L89</f>
        <v>0</v>
      </c>
      <c r="X220" s="26"/>
    </row>
    <row r="221" spans="2:24" ht="10.5" hidden="1">
      <c r="B221" s="23" t="s">
        <v>127</v>
      </c>
      <c r="H221" s="25">
        <f>'Базовые концовки'!F90</f>
        <v>0</v>
      </c>
      <c r="K221" s="25">
        <f>'Текущие концовки'!F90</f>
        <v>0</v>
      </c>
      <c r="R221" s="26"/>
      <c r="S221" s="26"/>
      <c r="T221" s="26"/>
      <c r="V221" s="5"/>
      <c r="W221" s="26">
        <f>'Текущие концовки'!L90</f>
        <v>0</v>
      </c>
      <c r="X221" s="26"/>
    </row>
    <row r="222" spans="2:24" ht="10.5" hidden="1">
      <c r="B222" s="23" t="s">
        <v>128</v>
      </c>
      <c r="E222" s="24"/>
      <c r="H222" s="25">
        <f>'Базовые концовки'!F91</f>
        <v>231.52</v>
      </c>
      <c r="K222" s="25">
        <f>'Текущие концовки'!F91</f>
        <v>6070.41</v>
      </c>
      <c r="R222" s="26"/>
      <c r="S222" s="26"/>
      <c r="T222" s="26"/>
      <c r="V222" s="5"/>
      <c r="W222" s="26"/>
      <c r="X222" s="26"/>
    </row>
    <row r="223" spans="2:24" ht="10.5" hidden="1">
      <c r="B223" s="23" t="s">
        <v>129</v>
      </c>
      <c r="E223" s="24"/>
      <c r="H223" s="25">
        <f>'Базовые концовки'!F92</f>
        <v>7.34</v>
      </c>
      <c r="K223" s="25">
        <f>'Текущие концовки'!F92</f>
        <v>192.49</v>
      </c>
      <c r="R223" s="26"/>
      <c r="S223" s="26"/>
      <c r="T223" s="26"/>
      <c r="V223" s="5"/>
      <c r="W223" s="26"/>
      <c r="X223" s="26"/>
    </row>
    <row r="224" spans="2:24" ht="10.5" hidden="1">
      <c r="B224" s="23" t="s">
        <v>130</v>
      </c>
      <c r="E224" s="24"/>
      <c r="H224" s="25">
        <f>'Базовые концовки'!F93</f>
        <v>238.86</v>
      </c>
      <c r="K224" s="25">
        <f>'Текущие концовки'!F93</f>
        <v>6262.9</v>
      </c>
      <c r="R224" s="26"/>
      <c r="S224" s="26"/>
      <c r="T224" s="26"/>
      <c r="V224" s="5"/>
      <c r="W224" s="26"/>
      <c r="X224" s="26"/>
    </row>
    <row r="225" spans="2:24" ht="10.5" hidden="1">
      <c r="B225" s="23" t="s">
        <v>131</v>
      </c>
      <c r="E225" s="24"/>
      <c r="H225" s="5">
        <f>'Базовые концовки'!J94</f>
        <v>26.350425</v>
      </c>
      <c r="K225" s="5">
        <f>'Текущие концовки'!J94</f>
        <v>26.350425</v>
      </c>
      <c r="R225" s="26"/>
      <c r="S225" s="26"/>
      <c r="T225" s="26"/>
      <c r="V225" s="5"/>
      <c r="W225" s="26"/>
      <c r="X225" s="26"/>
    </row>
    <row r="226" spans="2:24" ht="10.5" hidden="1">
      <c r="B226" s="23" t="s">
        <v>132</v>
      </c>
      <c r="E226" s="24"/>
      <c r="H226" s="5">
        <f>'Базовые концовки'!J95</f>
        <v>0.599795</v>
      </c>
      <c r="K226" s="5">
        <f>'Текущие концовки'!J95</f>
        <v>0.599795</v>
      </c>
      <c r="R226" s="26"/>
      <c r="S226" s="26"/>
      <c r="T226" s="26"/>
      <c r="V226" s="5"/>
      <c r="W226" s="26"/>
      <c r="X226" s="26"/>
    </row>
    <row r="227" spans="2:24" ht="10.5" hidden="1">
      <c r="B227" s="23" t="s">
        <v>133</v>
      </c>
      <c r="E227" s="24"/>
      <c r="H227" s="5">
        <f>'Базовые концовки'!J96</f>
        <v>26.95022</v>
      </c>
      <c r="K227" s="5">
        <f>'Текущие концовки'!J96</f>
        <v>26.95022</v>
      </c>
      <c r="R227" s="26"/>
      <c r="S227" s="26"/>
      <c r="T227" s="26"/>
      <c r="V227" s="5"/>
      <c r="W227" s="26"/>
      <c r="X227" s="26"/>
    </row>
    <row r="229" spans="2:24" ht="10.5" hidden="1">
      <c r="B229" s="23" t="s">
        <v>104</v>
      </c>
      <c r="H229" s="25">
        <f>'Базовые концовки'!F126</f>
        <v>0</v>
      </c>
      <c r="K229" s="25">
        <f>'Текущие концовки'!F126</f>
        <v>0</v>
      </c>
      <c r="R229" s="26">
        <f>'Текущие концовки'!G126</f>
        <v>0</v>
      </c>
      <c r="S229" s="26">
        <f>'Текущие концовки'!H126</f>
        <v>0</v>
      </c>
      <c r="T229" s="26">
        <f>'Текущие концовки'!I126</f>
        <v>0</v>
      </c>
      <c r="V229" s="5">
        <f>'Текущие концовки'!K126</f>
        <v>0</v>
      </c>
      <c r="W229" s="26">
        <f>'Текущие концовки'!L126</f>
        <v>0</v>
      </c>
      <c r="X229" s="26">
        <f>'Текущие концовки'!M126</f>
        <v>0</v>
      </c>
    </row>
    <row r="230" spans="2:24" ht="10.5" hidden="1">
      <c r="B230" s="23" t="s">
        <v>97</v>
      </c>
      <c r="H230" s="25">
        <f>'Базовые концовки'!F127</f>
        <v>0</v>
      </c>
      <c r="K230" s="25">
        <f>'Текущие концовки'!F127</f>
        <v>0</v>
      </c>
      <c r="R230" s="26"/>
      <c r="S230" s="26"/>
      <c r="T230" s="26"/>
      <c r="V230" s="5"/>
      <c r="W230" s="26"/>
      <c r="X230" s="26"/>
    </row>
    <row r="231" spans="2:24" ht="10.5" hidden="1">
      <c r="B231" s="23" t="s">
        <v>98</v>
      </c>
      <c r="H231" s="25">
        <f>'Базовые концовки'!F128</f>
        <v>0</v>
      </c>
      <c r="K231" s="25">
        <f>'Текущие концовки'!F128</f>
        <v>0</v>
      </c>
      <c r="R231" s="26"/>
      <c r="S231" s="26"/>
      <c r="T231" s="26"/>
      <c r="V231" s="5"/>
      <c r="W231" s="26"/>
      <c r="X231" s="26"/>
    </row>
    <row r="232" spans="2:24" ht="10.5" hidden="1">
      <c r="B232" s="23" t="s">
        <v>99</v>
      </c>
      <c r="H232" s="25">
        <f>'Базовые концовки'!F129</f>
        <v>0</v>
      </c>
      <c r="K232" s="25">
        <f>'Текущие концовки'!F129</f>
        <v>0</v>
      </c>
      <c r="R232" s="26"/>
      <c r="S232" s="26"/>
      <c r="T232" s="26"/>
      <c r="V232" s="5"/>
      <c r="W232" s="26"/>
      <c r="X232" s="26"/>
    </row>
    <row r="233" spans="2:24" ht="10.5" hidden="1">
      <c r="B233" s="23" t="s">
        <v>105</v>
      </c>
      <c r="H233" s="25">
        <f>'Базовые концовки'!F130</f>
        <v>0</v>
      </c>
      <c r="K233" s="25">
        <f>'Текущие концовки'!F130</f>
        <v>0</v>
      </c>
      <c r="R233" s="26"/>
      <c r="S233" s="26"/>
      <c r="T233" s="26"/>
      <c r="V233" s="5"/>
      <c r="W233" s="26"/>
      <c r="X233" s="26"/>
    </row>
    <row r="234" spans="2:24" ht="10.5" hidden="1">
      <c r="B234" s="23" t="s">
        <v>106</v>
      </c>
      <c r="H234" s="25">
        <f>'Базовые концовки'!F131</f>
        <v>0</v>
      </c>
      <c r="K234" s="25">
        <f>'Текущие концовки'!F131</f>
        <v>0</v>
      </c>
      <c r="R234" s="26">
        <f>'Текущие концовки'!G131</f>
        <v>0</v>
      </c>
      <c r="S234" s="26">
        <f>'Текущие концовки'!H131</f>
        <v>0</v>
      </c>
      <c r="T234" s="26">
        <f>'Текущие концовки'!I131</f>
        <v>0</v>
      </c>
      <c r="V234" s="5">
        <f>'Текущие концовки'!K131</f>
        <v>0</v>
      </c>
      <c r="W234" s="26">
        <f>'Текущие концовки'!L131</f>
        <v>0</v>
      </c>
      <c r="X234" s="26">
        <f>'Текущие концовки'!M131</f>
        <v>0</v>
      </c>
    </row>
    <row r="235" spans="2:24" ht="10.5" hidden="1">
      <c r="B235" s="23" t="s">
        <v>93</v>
      </c>
      <c r="H235" s="25"/>
      <c r="K235" s="25"/>
      <c r="R235" s="26"/>
      <c r="S235" s="26"/>
      <c r="T235" s="26"/>
      <c r="V235" s="5"/>
      <c r="W235" s="26"/>
      <c r="X235" s="26"/>
    </row>
    <row r="236" spans="2:24" ht="10.5" hidden="1">
      <c r="B236" s="23" t="s">
        <v>107</v>
      </c>
      <c r="H236" s="25">
        <f>'Базовые концовки'!F133</f>
        <v>0</v>
      </c>
      <c r="K236" s="25">
        <f>'Текущие концовки'!F133</f>
        <v>0</v>
      </c>
      <c r="R236" s="26">
        <f>'Текущие концовки'!G133</f>
        <v>0</v>
      </c>
      <c r="S236" s="26">
        <f>'Текущие концовки'!H133</f>
        <v>0</v>
      </c>
      <c r="T236" s="26">
        <f>'Текущие концовки'!I133</f>
        <v>0</v>
      </c>
      <c r="V236" s="5">
        <f>'Текущие концовки'!K133</f>
        <v>0</v>
      </c>
      <c r="W236" s="26">
        <f>'Текущие концовки'!L133</f>
        <v>0</v>
      </c>
      <c r="X236" s="26">
        <f>'Текущие концовки'!M133</f>
        <v>0</v>
      </c>
    </row>
    <row r="237" spans="2:24" ht="10.5" hidden="1">
      <c r="B237" s="23" t="s">
        <v>97</v>
      </c>
      <c r="H237" s="25">
        <f>'Базовые концовки'!F134</f>
        <v>0</v>
      </c>
      <c r="K237" s="25">
        <f>'Текущие концовки'!F134</f>
        <v>0</v>
      </c>
      <c r="R237" s="26"/>
      <c r="S237" s="26"/>
      <c r="T237" s="26"/>
      <c r="V237" s="5"/>
      <c r="W237" s="26"/>
      <c r="X237" s="26"/>
    </row>
    <row r="238" spans="2:24" ht="10.5" hidden="1">
      <c r="B238" s="23" t="s">
        <v>98</v>
      </c>
      <c r="H238" s="25">
        <f>'Базовые концовки'!F135</f>
        <v>0</v>
      </c>
      <c r="K238" s="25">
        <f>'Текущие концовки'!F135</f>
        <v>0</v>
      </c>
      <c r="R238" s="26"/>
      <c r="S238" s="26"/>
      <c r="T238" s="26"/>
      <c r="V238" s="5"/>
      <c r="W238" s="26"/>
      <c r="X238" s="26"/>
    </row>
    <row r="239" spans="2:24" ht="10.5" hidden="1">
      <c r="B239" s="23" t="s">
        <v>99</v>
      </c>
      <c r="H239" s="25">
        <f>'Базовые концовки'!F136</f>
        <v>0</v>
      </c>
      <c r="K239" s="25">
        <f>'Текущие концовки'!F136</f>
        <v>0</v>
      </c>
      <c r="R239" s="26"/>
      <c r="S239" s="26"/>
      <c r="T239" s="26"/>
      <c r="V239" s="5"/>
      <c r="W239" s="26"/>
      <c r="X239" s="26"/>
    </row>
    <row r="240" spans="2:24" ht="10.5" hidden="1">
      <c r="B240" s="23" t="s">
        <v>90</v>
      </c>
      <c r="H240" s="25">
        <f>'Базовые концовки'!F137</f>
        <v>0</v>
      </c>
      <c r="K240" s="25">
        <f>'Текущие концовки'!F137</f>
        <v>0</v>
      </c>
      <c r="R240" s="26"/>
      <c r="S240" s="26"/>
      <c r="T240" s="26"/>
      <c r="V240" s="5"/>
      <c r="W240" s="26"/>
      <c r="X240" s="26"/>
    </row>
    <row r="241" spans="2:24" ht="10.5" hidden="1">
      <c r="B241" s="23" t="s">
        <v>108</v>
      </c>
      <c r="H241" s="25">
        <f>'Базовые концовки'!F138</f>
        <v>0</v>
      </c>
      <c r="K241" s="25">
        <f>'Текущие концовки'!F138</f>
        <v>0</v>
      </c>
      <c r="R241" s="26"/>
      <c r="S241" s="26"/>
      <c r="T241" s="26"/>
      <c r="V241" s="5"/>
      <c r="W241" s="26"/>
      <c r="X241" s="26"/>
    </row>
    <row r="242" spans="2:24" ht="10.5" hidden="1">
      <c r="B242" s="23" t="s">
        <v>109</v>
      </c>
      <c r="H242" s="25">
        <f>'Базовые концовки'!F139</f>
        <v>0</v>
      </c>
      <c r="K242" s="25">
        <f>'Текущие концовки'!F139</f>
        <v>0</v>
      </c>
      <c r="R242" s="26">
        <f>'Текущие концовки'!G139</f>
        <v>0</v>
      </c>
      <c r="S242" s="26">
        <f>'Текущие концовки'!H139</f>
        <v>0</v>
      </c>
      <c r="T242" s="26">
        <f>'Текущие концовки'!I139</f>
        <v>0</v>
      </c>
      <c r="V242" s="5">
        <f>'Текущие концовки'!K139</f>
        <v>0</v>
      </c>
      <c r="W242" s="26">
        <f>'Текущие концовки'!L139</f>
        <v>0</v>
      </c>
      <c r="X242" s="26">
        <f>'Текущие концовки'!M139</f>
        <v>0</v>
      </c>
    </row>
    <row r="243" spans="2:24" ht="10.5" hidden="1">
      <c r="B243" s="23" t="s">
        <v>97</v>
      </c>
      <c r="H243" s="25">
        <f>'Базовые концовки'!F140</f>
        <v>0</v>
      </c>
      <c r="K243" s="25">
        <f>'Текущие концовки'!F140</f>
        <v>0</v>
      </c>
      <c r="R243" s="26"/>
      <c r="S243" s="26"/>
      <c r="T243" s="26"/>
      <c r="V243" s="5"/>
      <c r="W243" s="26"/>
      <c r="X243" s="26"/>
    </row>
    <row r="244" spans="2:24" ht="10.5" hidden="1">
      <c r="B244" s="23" t="s">
        <v>98</v>
      </c>
      <c r="H244" s="25">
        <f>'Базовые концовки'!F141</f>
        <v>0</v>
      </c>
      <c r="K244" s="25">
        <f>'Текущие концовки'!F141</f>
        <v>0</v>
      </c>
      <c r="R244" s="26"/>
      <c r="S244" s="26"/>
      <c r="T244" s="26"/>
      <c r="V244" s="5"/>
      <c r="W244" s="26"/>
      <c r="X244" s="26"/>
    </row>
    <row r="245" spans="2:24" ht="10.5" hidden="1">
      <c r="B245" s="23" t="s">
        <v>99</v>
      </c>
      <c r="H245" s="25">
        <f>'Базовые концовки'!F142</f>
        <v>0</v>
      </c>
      <c r="K245" s="25">
        <f>'Текущие концовки'!F142</f>
        <v>0</v>
      </c>
      <c r="R245" s="26"/>
      <c r="S245" s="26"/>
      <c r="T245" s="26"/>
      <c r="V245" s="5"/>
      <c r="W245" s="26"/>
      <c r="X245" s="26"/>
    </row>
    <row r="246" spans="2:24" ht="10.5" hidden="1">
      <c r="B246" s="23" t="s">
        <v>110</v>
      </c>
      <c r="H246" s="25">
        <f>'Базовые концовки'!F143</f>
        <v>0</v>
      </c>
      <c r="K246" s="25">
        <f>'Текущие концовки'!F143</f>
        <v>0</v>
      </c>
      <c r="R246" s="26"/>
      <c r="S246" s="26"/>
      <c r="T246" s="26"/>
      <c r="V246" s="5"/>
      <c r="W246" s="26"/>
      <c r="X246" s="26"/>
    </row>
    <row r="247" spans="2:24" ht="10.5" hidden="1">
      <c r="B247" s="23" t="s">
        <v>111</v>
      </c>
      <c r="H247" s="25">
        <f>'Базовые концовки'!F144</f>
        <v>0</v>
      </c>
      <c r="K247" s="25">
        <f>'Текущие концовки'!F144</f>
        <v>0</v>
      </c>
      <c r="R247" s="26">
        <f>'Текущие концовки'!G144</f>
        <v>0</v>
      </c>
      <c r="S247" s="26">
        <f>'Текущие концовки'!H144</f>
        <v>0</v>
      </c>
      <c r="T247" s="26">
        <f>'Текущие концовки'!I144</f>
        <v>0</v>
      </c>
      <c r="V247" s="5">
        <f>'Текущие концовки'!K144</f>
        <v>0</v>
      </c>
      <c r="W247" s="26">
        <f>'Текущие концовки'!L144</f>
        <v>0</v>
      </c>
      <c r="X247" s="26">
        <f>'Текущие концовки'!M144</f>
        <v>0</v>
      </c>
    </row>
    <row r="248" spans="2:24" ht="10.5" hidden="1">
      <c r="B248" s="23" t="s">
        <v>97</v>
      </c>
      <c r="H248" s="25">
        <f>'Базовые концовки'!F145</f>
        <v>0</v>
      </c>
      <c r="K248" s="25">
        <f>'Текущие концовки'!F145</f>
        <v>0</v>
      </c>
      <c r="R248" s="26"/>
      <c r="S248" s="26"/>
      <c r="T248" s="26"/>
      <c r="V248" s="5"/>
      <c r="W248" s="26"/>
      <c r="X248" s="26"/>
    </row>
    <row r="249" spans="2:24" ht="10.5" hidden="1">
      <c r="B249" s="23" t="s">
        <v>98</v>
      </c>
      <c r="H249" s="25">
        <f>'Базовые концовки'!F146</f>
        <v>0</v>
      </c>
      <c r="K249" s="25">
        <f>'Текущие концовки'!F146</f>
        <v>0</v>
      </c>
      <c r="R249" s="26"/>
      <c r="S249" s="26"/>
      <c r="T249" s="26"/>
      <c r="V249" s="5"/>
      <c r="W249" s="26"/>
      <c r="X249" s="26"/>
    </row>
    <row r="250" spans="2:24" ht="10.5" hidden="1">
      <c r="B250" s="23" t="s">
        <v>99</v>
      </c>
      <c r="H250" s="25">
        <f>'Базовые концовки'!F147</f>
        <v>0</v>
      </c>
      <c r="K250" s="25">
        <f>'Текущие концовки'!F147</f>
        <v>0</v>
      </c>
      <c r="R250" s="26"/>
      <c r="S250" s="26"/>
      <c r="T250" s="26"/>
      <c r="V250" s="5"/>
      <c r="W250" s="26"/>
      <c r="X250" s="26"/>
    </row>
    <row r="251" spans="2:24" ht="10.5" hidden="1">
      <c r="B251" s="23" t="s">
        <v>112</v>
      </c>
      <c r="H251" s="25">
        <f>'Базовые концовки'!F148</f>
        <v>0</v>
      </c>
      <c r="K251" s="25">
        <f>'Текущие концовки'!F148</f>
        <v>0</v>
      </c>
      <c r="R251" s="26"/>
      <c r="S251" s="26"/>
      <c r="T251" s="26"/>
      <c r="V251" s="5"/>
      <c r="W251" s="26"/>
      <c r="X251" s="26"/>
    </row>
    <row r="252" spans="2:24" ht="10.5" hidden="1">
      <c r="B252" s="23" t="s">
        <v>113</v>
      </c>
      <c r="H252" s="25">
        <f>'Базовые концовки'!F149</f>
        <v>0</v>
      </c>
      <c r="K252" s="25">
        <f>'Текущие концовки'!F149</f>
        <v>0</v>
      </c>
      <c r="R252" s="26">
        <f>'Текущие концовки'!G149</f>
        <v>0</v>
      </c>
      <c r="S252" s="26">
        <f>'Текущие концовки'!H149</f>
        <v>0</v>
      </c>
      <c r="T252" s="26">
        <f>'Текущие концовки'!I149</f>
        <v>0</v>
      </c>
      <c r="V252" s="5">
        <f>'Текущие концовки'!K149</f>
        <v>0</v>
      </c>
      <c r="W252" s="26">
        <f>'Текущие концовки'!L149</f>
        <v>0</v>
      </c>
      <c r="X252" s="26">
        <f>'Текущие концовки'!M149</f>
        <v>0</v>
      </c>
    </row>
    <row r="253" spans="2:24" ht="10.5" hidden="1">
      <c r="B253" s="23" t="s">
        <v>93</v>
      </c>
      <c r="H253" s="25"/>
      <c r="K253" s="25"/>
      <c r="R253" s="26"/>
      <c r="S253" s="26"/>
      <c r="T253" s="26"/>
      <c r="V253" s="5"/>
      <c r="W253" s="26"/>
      <c r="X253" s="26"/>
    </row>
    <row r="254" spans="2:24" ht="10.5" hidden="1">
      <c r="B254" s="23" t="s">
        <v>102</v>
      </c>
      <c r="H254" s="25">
        <f>'Базовые концовки'!F151</f>
        <v>0</v>
      </c>
      <c r="K254" s="25">
        <f>'Текущие концовки'!F151</f>
        <v>0</v>
      </c>
      <c r="R254" s="26"/>
      <c r="S254" s="26"/>
      <c r="T254" s="26"/>
      <c r="V254" s="5"/>
      <c r="W254" s="26"/>
      <c r="X254" s="26"/>
    </row>
    <row r="255" spans="2:24" ht="10.5" hidden="1">
      <c r="B255" s="23" t="s">
        <v>97</v>
      </c>
      <c r="H255" s="25">
        <f>'Базовые концовки'!F152</f>
        <v>0</v>
      </c>
      <c r="K255" s="25">
        <f>'Текущие концовки'!F152</f>
        <v>0</v>
      </c>
      <c r="R255" s="26"/>
      <c r="S255" s="26"/>
      <c r="T255" s="26"/>
      <c r="V255" s="5"/>
      <c r="W255" s="26"/>
      <c r="X255" s="26"/>
    </row>
    <row r="256" spans="2:24" ht="10.5" hidden="1">
      <c r="B256" s="23" t="s">
        <v>98</v>
      </c>
      <c r="H256" s="25">
        <f>'Базовые концовки'!F153</f>
        <v>0</v>
      </c>
      <c r="K256" s="25">
        <f>'Текущие концовки'!F153</f>
        <v>0</v>
      </c>
      <c r="R256" s="26"/>
      <c r="S256" s="26"/>
      <c r="T256" s="26"/>
      <c r="V256" s="5"/>
      <c r="W256" s="26"/>
      <c r="X256" s="26"/>
    </row>
    <row r="257" spans="2:24" ht="10.5" hidden="1">
      <c r="B257" s="23" t="s">
        <v>99</v>
      </c>
      <c r="H257" s="25">
        <f>'Базовые концовки'!F154</f>
        <v>0</v>
      </c>
      <c r="K257" s="25">
        <f>'Текущие концовки'!F154</f>
        <v>0</v>
      </c>
      <c r="R257" s="26"/>
      <c r="S257" s="26"/>
      <c r="T257" s="26"/>
      <c r="V257" s="5"/>
      <c r="W257" s="26"/>
      <c r="X257" s="26"/>
    </row>
    <row r="258" spans="2:24" ht="10.5" hidden="1">
      <c r="B258" s="23" t="s">
        <v>114</v>
      </c>
      <c r="H258" s="25">
        <f>'Базовые концовки'!F155</f>
        <v>0</v>
      </c>
      <c r="K258" s="25">
        <f>'Текущие концовки'!F155</f>
        <v>0</v>
      </c>
      <c r="R258" s="26"/>
      <c r="S258" s="26"/>
      <c r="T258" s="26"/>
      <c r="V258" s="5"/>
      <c r="W258" s="26"/>
      <c r="X258" s="26"/>
    </row>
    <row r="259" spans="2:24" ht="10.5" hidden="1">
      <c r="B259" s="23" t="s">
        <v>115</v>
      </c>
      <c r="H259" s="25">
        <f>'Базовые концовки'!F156</f>
        <v>0</v>
      </c>
      <c r="K259" s="25">
        <f>'Текущие концовки'!F156</f>
        <v>0</v>
      </c>
      <c r="R259" s="26">
        <f>'Текущие концовки'!G156</f>
        <v>0</v>
      </c>
      <c r="S259" s="26">
        <f>'Текущие концовки'!H156</f>
        <v>0</v>
      </c>
      <c r="T259" s="26">
        <f>'Текущие концовки'!I156</f>
        <v>0</v>
      </c>
      <c r="V259" s="5">
        <f>'Текущие концовки'!K156</f>
        <v>0</v>
      </c>
      <c r="W259" s="26">
        <f>'Текущие концовки'!L156</f>
        <v>0</v>
      </c>
      <c r="X259" s="26">
        <f>'Текущие концовки'!M156</f>
        <v>0</v>
      </c>
    </row>
    <row r="260" spans="2:24" ht="10.5" hidden="1">
      <c r="B260" s="23" t="s">
        <v>116</v>
      </c>
      <c r="H260" s="25">
        <f>'Базовые концовки'!F157</f>
        <v>0</v>
      </c>
      <c r="K260" s="25">
        <f>'Текущие концовки'!F157</f>
        <v>0</v>
      </c>
      <c r="R260" s="26"/>
      <c r="S260" s="26"/>
      <c r="T260" s="26"/>
      <c r="V260" s="5"/>
      <c r="W260" s="26"/>
      <c r="X260" s="26"/>
    </row>
    <row r="261" spans="2:24" ht="10.5" hidden="1">
      <c r="B261" s="23" t="s">
        <v>117</v>
      </c>
      <c r="H261" s="25">
        <f>'Базовые концовки'!F158</f>
        <v>0</v>
      </c>
      <c r="K261" s="25">
        <f>'Текущие концовки'!F158</f>
        <v>0</v>
      </c>
      <c r="R261" s="26"/>
      <c r="S261" s="26"/>
      <c r="T261" s="26"/>
      <c r="V261" s="5"/>
      <c r="W261" s="26"/>
      <c r="X261" s="26"/>
    </row>
    <row r="262" spans="2:24" ht="10.5" hidden="1">
      <c r="B262" s="23" t="s">
        <v>98</v>
      </c>
      <c r="H262" s="25">
        <f>'Базовые концовки'!F159</f>
        <v>0</v>
      </c>
      <c r="K262" s="25">
        <f>'Текущие концовки'!F159</f>
        <v>0</v>
      </c>
      <c r="R262" s="26"/>
      <c r="S262" s="26"/>
      <c r="T262" s="26"/>
      <c r="V262" s="5"/>
      <c r="W262" s="26"/>
      <c r="X262" s="26"/>
    </row>
    <row r="263" spans="2:24" ht="10.5" hidden="1">
      <c r="B263" s="23" t="s">
        <v>99</v>
      </c>
      <c r="H263" s="25">
        <f>'Базовые концовки'!F160</f>
        <v>0</v>
      </c>
      <c r="K263" s="25">
        <f>'Текущие концовки'!F160</f>
        <v>0</v>
      </c>
      <c r="R263" s="26"/>
      <c r="S263" s="26"/>
      <c r="T263" s="26"/>
      <c r="V263" s="5"/>
      <c r="W263" s="26"/>
      <c r="X263" s="26"/>
    </row>
    <row r="264" spans="2:24" ht="10.5" hidden="1">
      <c r="B264" s="23" t="s">
        <v>118</v>
      </c>
      <c r="H264" s="25">
        <f>'Базовые концовки'!F161</f>
        <v>0</v>
      </c>
      <c r="K264" s="25">
        <f>'Текущие концовки'!F161</f>
        <v>0</v>
      </c>
      <c r="R264" s="26"/>
      <c r="S264" s="26"/>
      <c r="T264" s="26"/>
      <c r="V264" s="5"/>
      <c r="W264" s="26"/>
      <c r="X264" s="26"/>
    </row>
    <row r="265" spans="2:24" ht="10.5" hidden="1">
      <c r="B265" s="23" t="s">
        <v>119</v>
      </c>
      <c r="H265" s="25">
        <f>'Базовые концовки'!F162</f>
        <v>0</v>
      </c>
      <c r="K265" s="25">
        <f>'Текущие концовки'!F162</f>
        <v>0</v>
      </c>
      <c r="R265" s="26">
        <f>'Текущие концовки'!G162</f>
        <v>0</v>
      </c>
      <c r="S265" s="26">
        <f>'Текущие концовки'!H162</f>
        <v>0</v>
      </c>
      <c r="T265" s="26">
        <f>'Текущие концовки'!I162</f>
        <v>0</v>
      </c>
      <c r="V265" s="5">
        <f>'Текущие концовки'!K162</f>
        <v>0</v>
      </c>
      <c r="W265" s="26">
        <f>'Текущие концовки'!L162</f>
        <v>0</v>
      </c>
      <c r="X265" s="26">
        <f>'Текущие концовки'!M162</f>
        <v>0</v>
      </c>
    </row>
    <row r="266" spans="2:24" ht="10.5" hidden="1">
      <c r="B266" s="23" t="s">
        <v>98</v>
      </c>
      <c r="H266" s="25">
        <f>'Базовые концовки'!F163</f>
        <v>0</v>
      </c>
      <c r="K266" s="25">
        <f>'Текущие концовки'!F163</f>
        <v>0</v>
      </c>
      <c r="R266" s="26"/>
      <c r="S266" s="26"/>
      <c r="T266" s="26"/>
      <c r="V266" s="5"/>
      <c r="W266" s="26"/>
      <c r="X266" s="26"/>
    </row>
    <row r="267" spans="2:24" ht="10.5" hidden="1">
      <c r="B267" s="23" t="s">
        <v>99</v>
      </c>
      <c r="H267" s="25">
        <f>'Базовые концовки'!F164</f>
        <v>0</v>
      </c>
      <c r="K267" s="25">
        <f>'Текущие концовки'!F164</f>
        <v>0</v>
      </c>
      <c r="R267" s="26"/>
      <c r="S267" s="26"/>
      <c r="T267" s="26"/>
      <c r="V267" s="5"/>
      <c r="W267" s="26"/>
      <c r="X267" s="26"/>
    </row>
    <row r="268" spans="2:24" ht="10.5" hidden="1">
      <c r="B268" s="23" t="s">
        <v>120</v>
      </c>
      <c r="H268" s="25">
        <f>'Базовые концовки'!F165</f>
        <v>0</v>
      </c>
      <c r="K268" s="25">
        <f>'Текущие концовки'!F165</f>
        <v>0</v>
      </c>
      <c r="R268" s="26"/>
      <c r="S268" s="26"/>
      <c r="T268" s="26"/>
      <c r="V268" s="5"/>
      <c r="W268" s="26"/>
      <c r="X268" s="26"/>
    </row>
    <row r="269" spans="2:24" ht="10.5" hidden="1">
      <c r="B269" s="23" t="s">
        <v>121</v>
      </c>
      <c r="H269" s="25">
        <f>'Базовые концовки'!F166</f>
        <v>0</v>
      </c>
      <c r="K269" s="25">
        <f>'Текущие концовки'!F166</f>
        <v>0</v>
      </c>
      <c r="R269" s="26">
        <f>'Текущие концовки'!G166</f>
        <v>0</v>
      </c>
      <c r="S269" s="26">
        <f>'Текущие концовки'!H166</f>
        <v>0</v>
      </c>
      <c r="T269" s="26">
        <f>'Текущие концовки'!I166</f>
        <v>0</v>
      </c>
      <c r="V269" s="5">
        <f>'Текущие концовки'!K166</f>
        <v>0</v>
      </c>
      <c r="W269" s="26">
        <f>'Текущие концовки'!L166</f>
        <v>0</v>
      </c>
      <c r="X269" s="26">
        <f>'Текущие концовки'!M166</f>
        <v>0</v>
      </c>
    </row>
    <row r="270" spans="2:24" ht="10.5" hidden="1">
      <c r="B270" s="23" t="s">
        <v>97</v>
      </c>
      <c r="H270" s="25">
        <f>'Базовые концовки'!F167</f>
        <v>0</v>
      </c>
      <c r="K270" s="25">
        <f>'Текущие концовки'!F167</f>
        <v>0</v>
      </c>
      <c r="R270" s="26"/>
      <c r="S270" s="26"/>
      <c r="T270" s="26"/>
      <c r="V270" s="5"/>
      <c r="W270" s="26"/>
      <c r="X270" s="26"/>
    </row>
    <row r="271" spans="2:24" ht="10.5" hidden="1">
      <c r="B271" s="23" t="s">
        <v>98</v>
      </c>
      <c r="H271" s="25">
        <f>'Базовые концовки'!F168</f>
        <v>0</v>
      </c>
      <c r="K271" s="25">
        <f>'Текущие концовки'!F168</f>
        <v>0</v>
      </c>
      <c r="R271" s="26"/>
      <c r="S271" s="26"/>
      <c r="T271" s="26"/>
      <c r="V271" s="5"/>
      <c r="W271" s="26"/>
      <c r="X271" s="26"/>
    </row>
    <row r="272" spans="2:24" ht="10.5" hidden="1">
      <c r="B272" s="23" t="s">
        <v>99</v>
      </c>
      <c r="H272" s="25">
        <f>'Базовые концовки'!F169</f>
        <v>0</v>
      </c>
      <c r="K272" s="25">
        <f>'Текущие концовки'!F169</f>
        <v>0</v>
      </c>
      <c r="R272" s="26"/>
      <c r="S272" s="26"/>
      <c r="T272" s="26"/>
      <c r="V272" s="5"/>
      <c r="W272" s="26"/>
      <c r="X272" s="26"/>
    </row>
    <row r="273" spans="2:24" ht="10.5" hidden="1">
      <c r="B273" s="23" t="s">
        <v>122</v>
      </c>
      <c r="H273" s="25">
        <f>'Базовые концовки'!F170</f>
        <v>0</v>
      </c>
      <c r="K273" s="25">
        <f>'Текущие концовки'!F170</f>
        <v>0</v>
      </c>
      <c r="R273" s="26"/>
      <c r="S273" s="26"/>
      <c r="T273" s="26"/>
      <c r="V273" s="5"/>
      <c r="W273" s="26"/>
      <c r="X273" s="26"/>
    </row>
    <row r="274" spans="2:24" ht="10.5" hidden="1">
      <c r="B274" s="23" t="s">
        <v>123</v>
      </c>
      <c r="H274" s="25">
        <f>'Базовые концовки'!F171</f>
        <v>0</v>
      </c>
      <c r="K274" s="25">
        <f>'Текущие концовки'!F171</f>
        <v>0</v>
      </c>
      <c r="R274" s="26">
        <f>'Текущие концовки'!G171</f>
        <v>0</v>
      </c>
      <c r="S274" s="26">
        <f>'Текущие концовки'!H171</f>
        <v>0</v>
      </c>
      <c r="T274" s="26">
        <f>'Текущие концовки'!I171</f>
        <v>0</v>
      </c>
      <c r="V274" s="5">
        <f>'Текущие концовки'!K171</f>
        <v>0</v>
      </c>
      <c r="W274" s="26">
        <f>'Текущие концовки'!L171</f>
        <v>0</v>
      </c>
      <c r="X274" s="26">
        <f>'Текущие концовки'!M171</f>
        <v>0</v>
      </c>
    </row>
    <row r="275" spans="2:24" ht="10.5" hidden="1">
      <c r="B275" s="23" t="s">
        <v>97</v>
      </c>
      <c r="H275" s="25">
        <f>'Базовые концовки'!F172</f>
        <v>0</v>
      </c>
      <c r="K275" s="25">
        <f>'Текущие концовки'!F172</f>
        <v>0</v>
      </c>
      <c r="R275" s="26"/>
      <c r="S275" s="26"/>
      <c r="T275" s="26"/>
      <c r="V275" s="5"/>
      <c r="W275" s="26"/>
      <c r="X275" s="26"/>
    </row>
    <row r="276" spans="2:24" ht="10.5">
      <c r="B276" s="23" t="s">
        <v>345</v>
      </c>
      <c r="E276" s="24"/>
      <c r="H276" s="25">
        <f>'Базовые концовки'!F173</f>
        <v>83309.97</v>
      </c>
      <c r="K276" s="25">
        <f>'Текущие концовки'!F173</f>
        <v>105807.55</v>
      </c>
      <c r="R276" s="26">
        <f>'Текущие концовки'!G173</f>
        <v>0</v>
      </c>
      <c r="S276" s="26">
        <f>'Текущие концовки'!H173</f>
        <v>0</v>
      </c>
      <c r="T276" s="26">
        <f>'Текущие концовки'!I173</f>
        <v>0</v>
      </c>
      <c r="V276" s="5">
        <f>'Текущие концовки'!K173</f>
        <v>0</v>
      </c>
      <c r="W276" s="26">
        <f>'Текущие концовки'!L173</f>
        <v>0</v>
      </c>
      <c r="X276" s="26">
        <f>'Текущие концовки'!M173</f>
        <v>0</v>
      </c>
    </row>
    <row r="277" spans="2:24" ht="10.5" hidden="1">
      <c r="B277" s="23" t="s">
        <v>124</v>
      </c>
      <c r="H277" s="25">
        <f>'Базовые концовки'!F174</f>
        <v>0</v>
      </c>
      <c r="K277" s="25">
        <f>'Текущие концовки'!F174</f>
        <v>0</v>
      </c>
      <c r="R277" s="26"/>
      <c r="S277" s="26"/>
      <c r="T277" s="26"/>
      <c r="V277" s="5"/>
      <c r="W277" s="26"/>
      <c r="X277" s="26"/>
    </row>
    <row r="278" spans="2:24" ht="10.5">
      <c r="B278" s="23" t="s">
        <v>125</v>
      </c>
      <c r="E278" s="24"/>
      <c r="H278" s="25">
        <f>'Базовые концовки'!F175</f>
        <v>250.3</v>
      </c>
      <c r="K278" s="25">
        <f>'Текущие концовки'!F175</f>
        <v>5578.46</v>
      </c>
      <c r="R278" s="26"/>
      <c r="S278" s="26"/>
      <c r="T278" s="26"/>
      <c r="V278" s="5"/>
      <c r="W278" s="26"/>
      <c r="X278" s="26"/>
    </row>
    <row r="279" spans="2:24" ht="10.5">
      <c r="B279" s="23" t="s">
        <v>126</v>
      </c>
      <c r="E279" s="24"/>
      <c r="H279" s="25">
        <f>'Базовые концовки'!F176</f>
        <v>125.95</v>
      </c>
      <c r="K279" s="25">
        <f>'Текущие концовки'!F176</f>
        <v>2641.94</v>
      </c>
      <c r="R279" s="26"/>
      <c r="S279" s="26"/>
      <c r="T279" s="26"/>
      <c r="V279" s="5"/>
      <c r="W279" s="26"/>
      <c r="X279" s="26"/>
    </row>
    <row r="280" spans="2:24" ht="10.5" hidden="1">
      <c r="B280" s="23" t="s">
        <v>41</v>
      </c>
      <c r="H280" s="25">
        <f>'Базовые концовки'!F177</f>
        <v>0</v>
      </c>
      <c r="K280" s="25">
        <f>'Текущие концовки'!F177</f>
        <v>0</v>
      </c>
      <c r="R280" s="26"/>
      <c r="S280" s="26"/>
      <c r="T280" s="26"/>
      <c r="V280" s="5"/>
      <c r="W280" s="26">
        <f>'Текущие концовки'!L177</f>
        <v>0</v>
      </c>
      <c r="X280" s="26"/>
    </row>
    <row r="281" spans="2:24" ht="10.5" hidden="1">
      <c r="B281" s="23" t="s">
        <v>127</v>
      </c>
      <c r="H281" s="25">
        <f>'Базовые концовки'!F178</f>
        <v>0</v>
      </c>
      <c r="K281" s="25">
        <f>'Текущие концовки'!F178</f>
        <v>0</v>
      </c>
      <c r="R281" s="26"/>
      <c r="S281" s="26"/>
      <c r="T281" s="26"/>
      <c r="V281" s="5"/>
      <c r="W281" s="26">
        <f>'Текущие концовки'!L178</f>
        <v>0</v>
      </c>
      <c r="X281" s="26"/>
    </row>
    <row r="282" spans="2:24" ht="10.5" hidden="1">
      <c r="B282" s="23" t="s">
        <v>128</v>
      </c>
      <c r="E282" s="24"/>
      <c r="H282" s="25">
        <f>'Базовые концовки'!F179</f>
        <v>231.52</v>
      </c>
      <c r="K282" s="25">
        <f>'Текущие концовки'!F179</f>
        <v>6070.41</v>
      </c>
      <c r="R282" s="26"/>
      <c r="S282" s="26"/>
      <c r="T282" s="26"/>
      <c r="V282" s="5"/>
      <c r="W282" s="26"/>
      <c r="X282" s="26"/>
    </row>
    <row r="283" spans="2:24" ht="10.5" hidden="1">
      <c r="B283" s="23" t="s">
        <v>129</v>
      </c>
      <c r="E283" s="24"/>
      <c r="H283" s="25">
        <f>'Базовые концовки'!F180</f>
        <v>7.34</v>
      </c>
      <c r="K283" s="25">
        <f>'Текущие концовки'!F180</f>
        <v>192.49</v>
      </c>
      <c r="R283" s="26"/>
      <c r="S283" s="26"/>
      <c r="T283" s="26"/>
      <c r="V283" s="5"/>
      <c r="W283" s="26"/>
      <c r="X283" s="26"/>
    </row>
    <row r="284" spans="2:24" ht="10.5" hidden="1">
      <c r="B284" s="23" t="s">
        <v>130</v>
      </c>
      <c r="E284" s="24"/>
      <c r="H284" s="25">
        <f>'Базовые концовки'!F181</f>
        <v>238.86</v>
      </c>
      <c r="K284" s="25">
        <f>'Текущие концовки'!F181</f>
        <v>6262.9</v>
      </c>
      <c r="R284" s="26"/>
      <c r="S284" s="26"/>
      <c r="T284" s="26"/>
      <c r="V284" s="5"/>
      <c r="W284" s="26"/>
      <c r="X284" s="26"/>
    </row>
    <row r="285" spans="2:24" ht="10.5" hidden="1">
      <c r="B285" s="23" t="s">
        <v>131</v>
      </c>
      <c r="E285" s="24"/>
      <c r="H285" s="5">
        <f>'Базовые концовки'!J182</f>
        <v>26.350425</v>
      </c>
      <c r="K285" s="5">
        <f>'Текущие концовки'!J182</f>
        <v>26.350425</v>
      </c>
      <c r="R285" s="26"/>
      <c r="S285" s="26"/>
      <c r="T285" s="26"/>
      <c r="V285" s="5"/>
      <c r="W285" s="26"/>
      <c r="X285" s="26"/>
    </row>
    <row r="286" spans="2:24" ht="10.5" hidden="1">
      <c r="B286" s="23" t="s">
        <v>132</v>
      </c>
      <c r="E286" s="24"/>
      <c r="H286" s="5">
        <f>'Базовые концовки'!J183</f>
        <v>0.599795</v>
      </c>
      <c r="K286" s="5">
        <f>'Текущие концовки'!J183</f>
        <v>0.599795</v>
      </c>
      <c r="R286" s="26"/>
      <c r="S286" s="26"/>
      <c r="T286" s="26"/>
      <c r="V286" s="5"/>
      <c r="W286" s="26"/>
      <c r="X286" s="26"/>
    </row>
    <row r="287" spans="2:24" ht="10.5" hidden="1">
      <c r="B287" s="23" t="s">
        <v>133</v>
      </c>
      <c r="E287" s="24"/>
      <c r="H287" s="5">
        <f>'Базовые концовки'!J184</f>
        <v>26.95022</v>
      </c>
      <c r="K287" s="5">
        <f>'Текущие концовки'!J184</f>
        <v>26.95022</v>
      </c>
      <c r="R287" s="26"/>
      <c r="S287" s="26"/>
      <c r="T287" s="26"/>
      <c r="V287" s="5"/>
      <c r="W287" s="26"/>
      <c r="X287" s="26"/>
    </row>
    <row r="289" spans="2:12" ht="10.5">
      <c r="B289" s="4" t="s">
        <v>136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3:14" ht="10.5">
      <c r="C290" s="39" t="s">
        <v>137</v>
      </c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2" spans="2:12" ht="10.5">
      <c r="B292" s="4" t="s">
        <v>138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3:14" ht="10.5">
      <c r="C293" s="39" t="s">
        <v>137</v>
      </c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ht="10.5">
      <c r="A294" s="27"/>
    </row>
  </sheetData>
  <sheetProtection/>
  <mergeCells count="24">
    <mergeCell ref="A3:D3"/>
    <mergeCell ref="F3:I3"/>
    <mergeCell ref="A4:D4"/>
    <mergeCell ref="F4:I4"/>
    <mergeCell ref="F2:I2"/>
    <mergeCell ref="B2:C2"/>
    <mergeCell ref="J15:K15"/>
    <mergeCell ref="A7:D7"/>
    <mergeCell ref="F7:I7"/>
    <mergeCell ref="A10:L10"/>
    <mergeCell ref="A11:L11"/>
    <mergeCell ref="A5:D5"/>
    <mergeCell ref="F5:I5"/>
    <mergeCell ref="A6:D6"/>
    <mergeCell ref="F6:I6"/>
    <mergeCell ref="C289:L289"/>
    <mergeCell ref="C290:N290"/>
    <mergeCell ref="C292:L292"/>
    <mergeCell ref="C293:N293"/>
    <mergeCell ref="A12:L12"/>
    <mergeCell ref="A16:L16"/>
    <mergeCell ref="B21:L22"/>
    <mergeCell ref="J13:K13"/>
    <mergeCell ref="J14:K14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N18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9" customWidth="1"/>
    <col min="2" max="2" width="44.421875" style="7" customWidth="1"/>
    <col min="3" max="3" width="3.421875" style="33" customWidth="1"/>
    <col min="4" max="4" width="6.00390625" style="36" customWidth="1"/>
    <col min="5" max="5" width="6.00390625" style="7" customWidth="1"/>
    <col min="6" max="9" width="12.7109375" style="36" customWidth="1"/>
    <col min="10" max="11" width="18.7109375" style="36" customWidth="1"/>
    <col min="12" max="12" width="12.7109375" style="36" customWidth="1"/>
    <col min="13" max="13" width="9.140625" style="36" customWidth="1"/>
    <col min="14" max="14" width="3.421875" style="33" hidden="1" customWidth="1"/>
    <col min="15" max="16384" width="9.140625" style="36" customWidth="1"/>
  </cols>
  <sheetData>
    <row r="2" spans="1:14" ht="10.5">
      <c r="A2" s="48"/>
      <c r="B2" s="55"/>
      <c r="C2" s="55"/>
      <c r="D2" s="56"/>
      <c r="E2" s="55"/>
      <c r="F2" s="56"/>
      <c r="G2" s="56"/>
      <c r="H2" s="56"/>
      <c r="I2" s="56"/>
      <c r="J2" s="56"/>
      <c r="K2" s="56"/>
      <c r="L2" s="56"/>
      <c r="N2" s="36"/>
    </row>
    <row r="3" spans="1:14" ht="10.5">
      <c r="A3" s="31"/>
      <c r="B3" s="50" t="s">
        <v>174</v>
      </c>
      <c r="C3" s="50"/>
      <c r="D3" s="50"/>
      <c r="E3" s="50"/>
      <c r="F3" s="50"/>
      <c r="G3" s="50"/>
      <c r="H3" s="50"/>
      <c r="I3" s="50"/>
      <c r="J3" s="50"/>
      <c r="K3" s="50"/>
      <c r="L3" s="50"/>
      <c r="N3" s="36"/>
    </row>
    <row r="4" spans="1:14" ht="10.5">
      <c r="A4" s="31"/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  <c r="N4" s="36"/>
    </row>
    <row r="5" spans="1:14" ht="10.5">
      <c r="A5" s="48"/>
      <c r="B5" s="55"/>
      <c r="C5" s="55"/>
      <c r="D5" s="56"/>
      <c r="E5" s="55"/>
      <c r="F5" s="56"/>
      <c r="G5" s="56"/>
      <c r="H5" s="56"/>
      <c r="I5" s="56"/>
      <c r="J5" s="56"/>
      <c r="K5" s="56"/>
      <c r="L5" s="56"/>
      <c r="N5" s="36"/>
    </row>
    <row r="7" spans="2:14" ht="10.5">
      <c r="B7" s="42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  <c r="N7" s="36"/>
    </row>
    <row r="8" spans="2:12" ht="10.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 s="30" customFormat="1" ht="10.5">
      <c r="A9" s="5"/>
      <c r="B9" s="30" t="s">
        <v>238</v>
      </c>
      <c r="C9" s="30" t="s">
        <v>239</v>
      </c>
      <c r="D9" s="37" t="s">
        <v>240</v>
      </c>
      <c r="E9" s="30" t="s">
        <v>241</v>
      </c>
      <c r="F9" s="30" t="s">
        <v>242</v>
      </c>
      <c r="G9" s="30" t="s">
        <v>243</v>
      </c>
      <c r="H9" s="30" t="s">
        <v>244</v>
      </c>
      <c r="I9" s="30" t="s">
        <v>245</v>
      </c>
      <c r="J9" s="30" t="s">
        <v>246</v>
      </c>
      <c r="K9" s="30" t="s">
        <v>247</v>
      </c>
      <c r="L9" s="30" t="s">
        <v>248</v>
      </c>
      <c r="M9" s="30" t="s">
        <v>249</v>
      </c>
    </row>
    <row r="10" spans="1:14" ht="10.5">
      <c r="A10" s="29">
        <v>1</v>
      </c>
      <c r="B10" s="7" t="s">
        <v>134</v>
      </c>
      <c r="C10" s="33" t="s">
        <v>250</v>
      </c>
      <c r="D10" s="36">
        <v>0</v>
      </c>
      <c r="E10" s="36"/>
      <c r="F10" s="28">
        <f>ROUND(SUM('Текущие цены с учетом расхода'!B9:B16),2)</f>
        <v>97587.15</v>
      </c>
      <c r="G10" s="28">
        <f>ROUND(SUM('Текущие цены с учетом расхода'!C9:C16),2)</f>
        <v>6070.41</v>
      </c>
      <c r="H10" s="28">
        <f>ROUND(SUM('Текущие цены с учетом расхода'!D9:D16),2)</f>
        <v>357.05</v>
      </c>
      <c r="I10" s="28">
        <f>ROUND(SUM('Текущие цены с учетом расхода'!E9:E16),2)</f>
        <v>192.49</v>
      </c>
      <c r="J10" s="32">
        <f>ROUND(SUM('Текущие цены с учетом расхода'!I9:I16),8)</f>
        <v>26.350425</v>
      </c>
      <c r="K10" s="32">
        <f>ROUND(SUM('Текущие цены с учетом расхода'!K9:K16),8)</f>
        <v>0.599795</v>
      </c>
      <c r="L10" s="28">
        <f>ROUND(SUM('Текущие цены с учетом расхода'!F9:F16),2)</f>
        <v>91159.69</v>
      </c>
      <c r="N10" s="36"/>
    </row>
    <row r="11" spans="1:12" ht="10.5">
      <c r="A11" s="29">
        <v>2</v>
      </c>
      <c r="B11" s="7" t="s">
        <v>82</v>
      </c>
      <c r="C11" s="33" t="s">
        <v>251</v>
      </c>
      <c r="D11" s="36">
        <v>0</v>
      </c>
      <c r="F11" s="28">
        <f>ROUND(SUMIF(Определители!I9:I16,"= ",'Текущие цены с учетом расхода'!B9:B16),2)</f>
        <v>0</v>
      </c>
      <c r="G11" s="28">
        <f>ROUND(SUMIF(Определители!I9:I16,"= ",'Текущие цены с учетом расхода'!C9:C16),2)</f>
        <v>0</v>
      </c>
      <c r="H11" s="28">
        <f>ROUND(SUMIF(Определители!I9:I16,"= ",'Текущие цены с учетом расхода'!D9:D16),2)</f>
        <v>0</v>
      </c>
      <c r="I11" s="28">
        <f>ROUND(SUMIF(Определители!I9:I16,"= ",'Текущие цены с учетом расхода'!E9:E16),2)</f>
        <v>0</v>
      </c>
      <c r="J11" s="32">
        <f>ROUND(SUMIF(Определители!I9:I16,"= ",'Текущие цены с учетом расхода'!I9:I16),8)</f>
        <v>0</v>
      </c>
      <c r="K11" s="32">
        <f>ROUND(SUMIF(Определители!I9:I16,"= ",'Текущие цены с учетом расхода'!K9:K16),8)</f>
        <v>0</v>
      </c>
      <c r="L11" s="28">
        <f>ROUND(SUMIF(Определители!I9:I16,"= ",'Текущие цены с учетом расхода'!F9:F16),2)</f>
        <v>0</v>
      </c>
    </row>
    <row r="12" spans="1:12" ht="10.5">
      <c r="A12" s="29">
        <v>3</v>
      </c>
      <c r="B12" s="7" t="s">
        <v>83</v>
      </c>
      <c r="C12" s="33" t="s">
        <v>251</v>
      </c>
      <c r="D12" s="36">
        <v>0</v>
      </c>
      <c r="F12" s="28">
        <f>ROUND(СУММПРОИЗВЕСЛИ(0.01,Определители!I9:I16," ",'Текущие цены с учетом расхода'!B9:B16,Начисления!X9:X16,0),2)</f>
        <v>0</v>
      </c>
      <c r="G12" s="28"/>
      <c r="H12" s="28"/>
      <c r="I12" s="28"/>
      <c r="J12" s="32"/>
      <c r="K12" s="32"/>
      <c r="L12" s="28"/>
    </row>
    <row r="13" spans="1:12" ht="10.5">
      <c r="A13" s="29">
        <v>4</v>
      </c>
      <c r="B13" s="7" t="s">
        <v>84</v>
      </c>
      <c r="C13" s="33" t="s">
        <v>251</v>
      </c>
      <c r="D13" s="36">
        <v>0</v>
      </c>
      <c r="F13" s="28">
        <f>ROUND(СУММПРОИЗВЕСЛИ(0.01,Определители!I9:I16," ",'Текущие цены с учетом расхода'!B9:B16,Начисления!Y9:Y16,0),2)</f>
        <v>0</v>
      </c>
      <c r="G13" s="28"/>
      <c r="H13" s="28"/>
      <c r="I13" s="28"/>
      <c r="J13" s="32"/>
      <c r="K13" s="32"/>
      <c r="L13" s="28"/>
    </row>
    <row r="14" spans="1:12" ht="10.5">
      <c r="A14" s="29">
        <v>5</v>
      </c>
      <c r="B14" s="7" t="s">
        <v>85</v>
      </c>
      <c r="C14" s="33" t="s">
        <v>251</v>
      </c>
      <c r="D14" s="36">
        <v>0</v>
      </c>
      <c r="F14" s="28">
        <f>ROUND(ТРАНСПРАСХОД(Определители!B9:B16,Определители!H9:H16,Определители!I9:I16,'Текущие цены с учетом расхода'!B9:B16,Начисления!Z9:Z16,Начисления!AA9:AA16),2)</f>
        <v>0</v>
      </c>
      <c r="G14" s="28"/>
      <c r="H14" s="28"/>
      <c r="I14" s="28"/>
      <c r="J14" s="32"/>
      <c r="K14" s="32"/>
      <c r="L14" s="28"/>
    </row>
    <row r="15" spans="1:12" ht="10.5">
      <c r="A15" s="29">
        <v>6</v>
      </c>
      <c r="B15" s="7" t="s">
        <v>86</v>
      </c>
      <c r="C15" s="33" t="s">
        <v>251</v>
      </c>
      <c r="D15" s="36">
        <v>0</v>
      </c>
      <c r="F15" s="28">
        <f>ROUND(СУММПРОИЗВЕСЛИ(0.01,Определители!I9:I16," ",'Текущие цены с учетом расхода'!B9:B16,Начисления!AC9:AC16,0),2)</f>
        <v>0</v>
      </c>
      <c r="G15" s="28"/>
      <c r="H15" s="28"/>
      <c r="I15" s="28"/>
      <c r="J15" s="32"/>
      <c r="K15" s="32"/>
      <c r="L15" s="28"/>
    </row>
    <row r="16" spans="1:12" ht="10.5">
      <c r="A16" s="29">
        <v>7</v>
      </c>
      <c r="B16" s="7" t="s">
        <v>87</v>
      </c>
      <c r="C16" s="33" t="s">
        <v>251</v>
      </c>
      <c r="D16" s="36">
        <v>0</v>
      </c>
      <c r="F16" s="28">
        <f>ROUND(СУММПРОИЗВЕСЛИ(0.01,Определители!I9:I16," ",'Текущие цены с учетом расхода'!B9:B16,Начисления!AF9:AF16,0),2)</f>
        <v>0</v>
      </c>
      <c r="G16" s="28"/>
      <c r="H16" s="28"/>
      <c r="I16" s="28"/>
      <c r="J16" s="32"/>
      <c r="K16" s="32"/>
      <c r="L16" s="28"/>
    </row>
    <row r="17" spans="1:12" ht="10.5">
      <c r="A17" s="29">
        <v>8</v>
      </c>
      <c r="B17" s="7" t="s">
        <v>88</v>
      </c>
      <c r="C17" s="33" t="s">
        <v>251</v>
      </c>
      <c r="D17" s="36">
        <v>0</v>
      </c>
      <c r="F17" s="28">
        <f>ROUND(ЗАГОТСКЛАДРАСХОД(Определители!B9:B16,Определители!H9:H16,Определители!I9:I16,'Текущие цены с учетом расхода'!B9:B16,Начисления!X9:X16,Начисления!Y9:Y16,Начисления!Z9:Z16,Начисления!AA9:AA16,Начисления!AB9:AB16,Начисления!AC9:AC16,Начисления!AF9:AF16),2)</f>
        <v>0</v>
      </c>
      <c r="G17" s="28"/>
      <c r="H17" s="28"/>
      <c r="I17" s="28"/>
      <c r="J17" s="32"/>
      <c r="K17" s="32"/>
      <c r="L17" s="28"/>
    </row>
    <row r="18" spans="1:12" ht="10.5">
      <c r="A18" s="29">
        <v>9</v>
      </c>
      <c r="B18" s="7" t="s">
        <v>89</v>
      </c>
      <c r="C18" s="33" t="s">
        <v>251</v>
      </c>
      <c r="D18" s="36">
        <v>0</v>
      </c>
      <c r="F18" s="28">
        <f>ROUND(СУММПРОИЗВЕСЛИ(1,Определители!I9:I16," ",'Текущие цены с учетом расхода'!M9:M16,Начисления!I9:I16,0),2)</f>
        <v>0</v>
      </c>
      <c r="G18" s="28"/>
      <c r="H18" s="28"/>
      <c r="I18" s="28"/>
      <c r="J18" s="32"/>
      <c r="K18" s="32"/>
      <c r="L18" s="28"/>
    </row>
    <row r="19" spans="1:12" ht="10.5">
      <c r="A19" s="29">
        <v>10</v>
      </c>
      <c r="B19" s="7" t="s">
        <v>90</v>
      </c>
      <c r="C19" s="33" t="s">
        <v>252</v>
      </c>
      <c r="D19" s="36">
        <v>0</v>
      </c>
      <c r="F19" s="28">
        <f>ROUND((F18+F29+F49),2)</f>
        <v>0</v>
      </c>
      <c r="G19" s="28"/>
      <c r="H19" s="28"/>
      <c r="I19" s="28"/>
      <c r="J19" s="32"/>
      <c r="K19" s="32"/>
      <c r="L19" s="28"/>
    </row>
    <row r="20" spans="1:12" ht="10.5">
      <c r="A20" s="29">
        <v>11</v>
      </c>
      <c r="B20" s="7" t="s">
        <v>91</v>
      </c>
      <c r="C20" s="33" t="s">
        <v>252</v>
      </c>
      <c r="D20" s="36">
        <v>0</v>
      </c>
      <c r="F20" s="28">
        <f>ROUND((F11+F12+F13+F14+F15+F16+F17+F19),2)</f>
        <v>0</v>
      </c>
      <c r="G20" s="28"/>
      <c r="H20" s="28"/>
      <c r="I20" s="28"/>
      <c r="J20" s="32"/>
      <c r="K20" s="32"/>
      <c r="L20" s="28"/>
    </row>
    <row r="21" spans="1:12" ht="10.5">
      <c r="A21" s="29">
        <v>12</v>
      </c>
      <c r="B21" s="7" t="s">
        <v>92</v>
      </c>
      <c r="C21" s="33" t="s">
        <v>251</v>
      </c>
      <c r="D21" s="36">
        <v>0</v>
      </c>
      <c r="F21" s="28">
        <f>ROUND(SUMIF(Определители!I9:I16,"=1",'Текущие цены с учетом расхода'!B9:B16),2)</f>
        <v>0</v>
      </c>
      <c r="G21" s="28">
        <f>ROUND(SUMIF(Определители!I9:I16,"=1",'Текущие цены с учетом расхода'!C9:C16),2)</f>
        <v>0</v>
      </c>
      <c r="H21" s="28">
        <f>ROUND(SUMIF(Определители!I9:I16,"=1",'Текущие цены с учетом расхода'!D9:D16),2)</f>
        <v>0</v>
      </c>
      <c r="I21" s="28">
        <f>ROUND(SUMIF(Определители!I9:I16,"=1",'Текущие цены с учетом расхода'!E9:E16),2)</f>
        <v>0</v>
      </c>
      <c r="J21" s="32">
        <f>ROUND(SUMIF(Определители!I9:I16,"=1",'Текущие цены с учетом расхода'!I9:I16),8)</f>
        <v>0</v>
      </c>
      <c r="K21" s="32">
        <f>ROUND(SUMIF(Определители!I9:I16,"=1",'Текущие цены с учетом расхода'!K9:K16),8)</f>
        <v>0</v>
      </c>
      <c r="L21" s="28">
        <f>ROUND(SUMIF(Определители!I9:I16,"=1",'Текущие цены с учетом расхода'!F9:F16),2)</f>
        <v>0</v>
      </c>
    </row>
    <row r="22" spans="1:12" ht="10.5">
      <c r="A22" s="29">
        <v>13</v>
      </c>
      <c r="B22" s="7" t="s">
        <v>93</v>
      </c>
      <c r="C22" s="33" t="s">
        <v>251</v>
      </c>
      <c r="D22" s="36">
        <v>0</v>
      </c>
      <c r="F22" s="28"/>
      <c r="G22" s="28"/>
      <c r="H22" s="28"/>
      <c r="I22" s="28"/>
      <c r="J22" s="32"/>
      <c r="K22" s="32"/>
      <c r="L22" s="28"/>
    </row>
    <row r="23" spans="1:12" ht="10.5">
      <c r="A23" s="29">
        <v>14</v>
      </c>
      <c r="B23" s="7" t="s">
        <v>94</v>
      </c>
      <c r="C23" s="33" t="s">
        <v>251</v>
      </c>
      <c r="D23" s="36">
        <v>0</v>
      </c>
      <c r="F23" s="28"/>
      <c r="G23" s="28">
        <f>ROUND(SUMIF(Определители!I9:I16,"=1",'Текущие цены с учетом расхода'!T9:T16),2)</f>
        <v>0</v>
      </c>
      <c r="H23" s="28"/>
      <c r="I23" s="28"/>
      <c r="J23" s="32"/>
      <c r="K23" s="32"/>
      <c r="L23" s="28"/>
    </row>
    <row r="24" spans="1:12" ht="10.5">
      <c r="A24" s="29">
        <v>15</v>
      </c>
      <c r="B24" s="7" t="s">
        <v>95</v>
      </c>
      <c r="C24" s="33" t="s">
        <v>251</v>
      </c>
      <c r="D24" s="36">
        <v>0</v>
      </c>
      <c r="F24" s="28">
        <f>ROUND(SUMIF(Определители!I9:I16,"=1",'Текущие цены с учетом расхода'!U9:U16),2)</f>
        <v>0</v>
      </c>
      <c r="G24" s="28"/>
      <c r="H24" s="28"/>
      <c r="I24" s="28"/>
      <c r="J24" s="32"/>
      <c r="K24" s="32"/>
      <c r="L24" s="28"/>
    </row>
    <row r="25" spans="1:12" ht="10.5">
      <c r="A25" s="29">
        <v>16</v>
      </c>
      <c r="B25" s="7" t="s">
        <v>96</v>
      </c>
      <c r="C25" s="33" t="s">
        <v>251</v>
      </c>
      <c r="D25" s="36">
        <v>0</v>
      </c>
      <c r="F25" s="28">
        <f>ROUND(СУММЕСЛИ2(Определители!I9:I16,"1",Определители!G9:G16,"1",'Текущие цены с учетом расхода'!B9:B16),2)</f>
        <v>0</v>
      </c>
      <c r="G25" s="28"/>
      <c r="H25" s="28"/>
      <c r="I25" s="28"/>
      <c r="J25" s="32"/>
      <c r="K25" s="32"/>
      <c r="L25" s="28"/>
    </row>
    <row r="26" spans="1:12" ht="10.5">
      <c r="A26" s="29">
        <v>17</v>
      </c>
      <c r="B26" s="7" t="s">
        <v>97</v>
      </c>
      <c r="C26" s="33" t="s">
        <v>251</v>
      </c>
      <c r="D26" s="36">
        <v>0</v>
      </c>
      <c r="F26" s="28">
        <f>ROUND(SUMIF(Определители!I9:I16,"=1",'Текущие цены с учетом расхода'!H9:H16),2)</f>
        <v>0</v>
      </c>
      <c r="G26" s="28"/>
      <c r="H26" s="28"/>
      <c r="I26" s="28"/>
      <c r="J26" s="32"/>
      <c r="K26" s="32"/>
      <c r="L26" s="28"/>
    </row>
    <row r="27" spans="1:12" ht="10.5">
      <c r="A27" s="29">
        <v>18</v>
      </c>
      <c r="B27" s="7" t="s">
        <v>98</v>
      </c>
      <c r="C27" s="33" t="s">
        <v>251</v>
      </c>
      <c r="D27" s="36">
        <v>0</v>
      </c>
      <c r="F27" s="28">
        <f>ROUND(SUMIF(Определители!I9:I16,"=1",'Текущие цены с учетом расхода'!N9:N16),2)</f>
        <v>0</v>
      </c>
      <c r="G27" s="28"/>
      <c r="H27" s="28"/>
      <c r="I27" s="28"/>
      <c r="J27" s="32"/>
      <c r="K27" s="32"/>
      <c r="L27" s="28"/>
    </row>
    <row r="28" spans="1:12" ht="10.5">
      <c r="A28" s="29">
        <v>19</v>
      </c>
      <c r="B28" s="7" t="s">
        <v>99</v>
      </c>
      <c r="C28" s="33" t="s">
        <v>251</v>
      </c>
      <c r="D28" s="36">
        <v>0</v>
      </c>
      <c r="F28" s="28">
        <f>ROUND(SUMIF(Определители!I9:I16,"=1",'Текущие цены с учетом расхода'!O9:O16),2)</f>
        <v>0</v>
      </c>
      <c r="G28" s="28"/>
      <c r="H28" s="28"/>
      <c r="I28" s="28"/>
      <c r="J28" s="32"/>
      <c r="K28" s="32"/>
      <c r="L28" s="28"/>
    </row>
    <row r="29" spans="1:12" ht="10.5">
      <c r="A29" s="29">
        <v>20</v>
      </c>
      <c r="B29" s="7" t="s">
        <v>90</v>
      </c>
      <c r="C29" s="33" t="s">
        <v>251</v>
      </c>
      <c r="D29" s="36">
        <v>0</v>
      </c>
      <c r="F29" s="28">
        <f>ROUND(СУММПРОИЗВЕСЛИ(1,Определители!I9:I16," ",'Текущие цены с учетом расхода'!M9:M16,Начисления!I9:I16,0),2)</f>
        <v>0</v>
      </c>
      <c r="G29" s="28"/>
      <c r="H29" s="28"/>
      <c r="I29" s="28"/>
      <c r="J29" s="32"/>
      <c r="K29" s="32"/>
      <c r="L29" s="28"/>
    </row>
    <row r="30" spans="1:12" ht="10.5">
      <c r="A30" s="29">
        <v>21</v>
      </c>
      <c r="B30" s="7" t="s">
        <v>100</v>
      </c>
      <c r="C30" s="33" t="s">
        <v>252</v>
      </c>
      <c r="D30" s="36">
        <v>0</v>
      </c>
      <c r="F30" s="28">
        <f>ROUND((F21+F27+F28),2)</f>
        <v>0</v>
      </c>
      <c r="G30" s="28"/>
      <c r="H30" s="28"/>
      <c r="I30" s="28"/>
      <c r="J30" s="32"/>
      <c r="K30" s="32"/>
      <c r="L30" s="28"/>
    </row>
    <row r="31" spans="1:12" ht="10.5">
      <c r="A31" s="29">
        <v>22</v>
      </c>
      <c r="B31" s="7" t="s">
        <v>101</v>
      </c>
      <c r="C31" s="33" t="s">
        <v>251</v>
      </c>
      <c r="D31" s="36">
        <v>0</v>
      </c>
      <c r="F31" s="28">
        <f>ROUND(SUMIF(Определители!I9:I16,"=2",'Текущие цены с учетом расхода'!B9:B16),2)</f>
        <v>97587.15</v>
      </c>
      <c r="G31" s="28">
        <f>ROUND(SUMIF(Определители!I9:I16,"=2",'Текущие цены с учетом расхода'!C9:C16),2)</f>
        <v>6070.41</v>
      </c>
      <c r="H31" s="28">
        <f>ROUND(SUMIF(Определители!I9:I16,"=2",'Текущие цены с учетом расхода'!D9:D16),2)</f>
        <v>357.05</v>
      </c>
      <c r="I31" s="28">
        <f>ROUND(SUMIF(Определители!I9:I16,"=2",'Текущие цены с учетом расхода'!E9:E16),2)</f>
        <v>192.49</v>
      </c>
      <c r="J31" s="32">
        <f>ROUND(SUMIF(Определители!I9:I16,"=2",'Текущие цены с учетом расхода'!I9:I16),8)</f>
        <v>26.350425</v>
      </c>
      <c r="K31" s="32">
        <f>ROUND(SUMIF(Определители!I9:I16,"=2",'Текущие цены с учетом расхода'!K9:K16),8)</f>
        <v>0.599795</v>
      </c>
      <c r="L31" s="28">
        <f>ROUND(SUMIF(Определители!I9:I16,"=2",'Текущие цены с учетом расхода'!F9:F16),2)</f>
        <v>91159.69</v>
      </c>
    </row>
    <row r="32" spans="1:12" ht="10.5">
      <c r="A32" s="29">
        <v>23</v>
      </c>
      <c r="B32" s="7" t="s">
        <v>93</v>
      </c>
      <c r="C32" s="33" t="s">
        <v>251</v>
      </c>
      <c r="D32" s="36">
        <v>0</v>
      </c>
      <c r="F32" s="28"/>
      <c r="G32" s="28"/>
      <c r="H32" s="28"/>
      <c r="I32" s="28"/>
      <c r="J32" s="32"/>
      <c r="K32" s="32"/>
      <c r="L32" s="28"/>
    </row>
    <row r="33" spans="1:12" ht="10.5">
      <c r="A33" s="29">
        <v>24</v>
      </c>
      <c r="B33" s="7" t="s">
        <v>102</v>
      </c>
      <c r="C33" s="33" t="s">
        <v>251</v>
      </c>
      <c r="D33" s="36">
        <v>0</v>
      </c>
      <c r="F33" s="28">
        <f>ROUND(СУММЕСЛИ2(Определители!I9:I16,"2",Определители!G9:G16,"1",'Текущие цены с учетом расхода'!B9:B16),2)</f>
        <v>0</v>
      </c>
      <c r="G33" s="28"/>
      <c r="H33" s="28"/>
      <c r="I33" s="28"/>
      <c r="J33" s="32"/>
      <c r="K33" s="32"/>
      <c r="L33" s="28"/>
    </row>
    <row r="34" spans="1:12" ht="10.5">
      <c r="A34" s="29">
        <v>25</v>
      </c>
      <c r="B34" s="7" t="s">
        <v>97</v>
      </c>
      <c r="C34" s="33" t="s">
        <v>251</v>
      </c>
      <c r="D34" s="36">
        <v>0</v>
      </c>
      <c r="F34" s="28">
        <f>ROUND(SUMIF(Определители!I9:I16,"=2",'Текущие цены с учетом расхода'!H9:H16),2)</f>
        <v>0</v>
      </c>
      <c r="G34" s="28"/>
      <c r="H34" s="28"/>
      <c r="I34" s="28"/>
      <c r="J34" s="32"/>
      <c r="K34" s="32"/>
      <c r="L34" s="28"/>
    </row>
    <row r="35" spans="1:12" ht="10.5">
      <c r="A35" s="29">
        <v>26</v>
      </c>
      <c r="B35" s="7" t="s">
        <v>98</v>
      </c>
      <c r="C35" s="33" t="s">
        <v>251</v>
      </c>
      <c r="D35" s="36">
        <v>0</v>
      </c>
      <c r="F35" s="28">
        <f>ROUND(SUMIF(Определители!I9:I16,"=2",'Текущие цены с учетом расхода'!N9:N16),2)</f>
        <v>5578.46</v>
      </c>
      <c r="G35" s="28"/>
      <c r="H35" s="28"/>
      <c r="I35" s="28"/>
      <c r="J35" s="32"/>
      <c r="K35" s="32"/>
      <c r="L35" s="28"/>
    </row>
    <row r="36" spans="1:12" ht="10.5">
      <c r="A36" s="29">
        <v>27</v>
      </c>
      <c r="B36" s="7" t="s">
        <v>99</v>
      </c>
      <c r="C36" s="33" t="s">
        <v>251</v>
      </c>
      <c r="D36" s="36">
        <v>0</v>
      </c>
      <c r="F36" s="28">
        <f>ROUND(SUMIF(Определители!I9:I16,"=2",'Текущие цены с учетом расхода'!O9:O16),2)</f>
        <v>2641.94</v>
      </c>
      <c r="G36" s="28"/>
      <c r="H36" s="28"/>
      <c r="I36" s="28"/>
      <c r="J36" s="32"/>
      <c r="K36" s="32"/>
      <c r="L36" s="28"/>
    </row>
    <row r="37" spans="1:12" ht="10.5">
      <c r="A37" s="29">
        <v>28</v>
      </c>
      <c r="B37" s="7" t="s">
        <v>103</v>
      </c>
      <c r="C37" s="33" t="s">
        <v>252</v>
      </c>
      <c r="D37" s="36">
        <v>0</v>
      </c>
      <c r="F37" s="28">
        <f>ROUND((F31+F35+F36),2)</f>
        <v>105807.55</v>
      </c>
      <c r="G37" s="28"/>
      <c r="H37" s="28"/>
      <c r="I37" s="28"/>
      <c r="J37" s="32"/>
      <c r="K37" s="32"/>
      <c r="L37" s="28"/>
    </row>
    <row r="38" spans="1:12" ht="10.5">
      <c r="A38" s="29">
        <v>29</v>
      </c>
      <c r="B38" s="7" t="s">
        <v>104</v>
      </c>
      <c r="C38" s="33" t="s">
        <v>251</v>
      </c>
      <c r="D38" s="36">
        <v>0</v>
      </c>
      <c r="F38" s="28">
        <f>ROUND(SUMIF(Определители!I9:I16,"=3",'Текущие цены с учетом расхода'!B9:B16),2)</f>
        <v>0</v>
      </c>
      <c r="G38" s="28">
        <f>ROUND(SUMIF(Определители!I9:I16,"=3",'Текущие цены с учетом расхода'!C9:C16),2)</f>
        <v>0</v>
      </c>
      <c r="H38" s="28">
        <f>ROUND(SUMIF(Определители!I9:I16,"=3",'Текущие цены с учетом расхода'!D9:D16),2)</f>
        <v>0</v>
      </c>
      <c r="I38" s="28">
        <f>ROUND(SUMIF(Определители!I9:I16,"=3",'Текущие цены с учетом расхода'!E9:E16),2)</f>
        <v>0</v>
      </c>
      <c r="J38" s="32">
        <f>ROUND(SUMIF(Определители!I9:I16,"=3",'Текущие цены с учетом расхода'!I9:I16),8)</f>
        <v>0</v>
      </c>
      <c r="K38" s="32">
        <f>ROUND(SUMIF(Определители!I9:I16,"=3",'Текущие цены с учетом расхода'!K9:K16),8)</f>
        <v>0</v>
      </c>
      <c r="L38" s="28">
        <f>ROUND(SUMIF(Определители!I9:I16,"=3",'Текущие цены с учетом расхода'!F9:F16),2)</f>
        <v>0</v>
      </c>
    </row>
    <row r="39" spans="1:12" ht="10.5">
      <c r="A39" s="29">
        <v>30</v>
      </c>
      <c r="B39" s="7" t="s">
        <v>97</v>
      </c>
      <c r="C39" s="33" t="s">
        <v>251</v>
      </c>
      <c r="D39" s="36">
        <v>0</v>
      </c>
      <c r="F39" s="28">
        <f>ROUND(SUMIF(Определители!I9:I16,"=3",'Текущие цены с учетом расхода'!H9:H16),2)</f>
        <v>0</v>
      </c>
      <c r="G39" s="28"/>
      <c r="H39" s="28"/>
      <c r="I39" s="28"/>
      <c r="J39" s="32"/>
      <c r="K39" s="32"/>
      <c r="L39" s="28"/>
    </row>
    <row r="40" spans="1:12" ht="10.5">
      <c r="A40" s="29">
        <v>31</v>
      </c>
      <c r="B40" s="7" t="s">
        <v>98</v>
      </c>
      <c r="C40" s="33" t="s">
        <v>251</v>
      </c>
      <c r="D40" s="36">
        <v>0</v>
      </c>
      <c r="F40" s="28">
        <f>ROUND(SUMIF(Определители!I9:I16,"=3",'Текущие цены с учетом расхода'!N9:N16),2)</f>
        <v>0</v>
      </c>
      <c r="G40" s="28"/>
      <c r="H40" s="28"/>
      <c r="I40" s="28"/>
      <c r="J40" s="32"/>
      <c r="K40" s="32"/>
      <c r="L40" s="28"/>
    </row>
    <row r="41" spans="1:12" ht="10.5">
      <c r="A41" s="29">
        <v>32</v>
      </c>
      <c r="B41" s="7" t="s">
        <v>99</v>
      </c>
      <c r="C41" s="33" t="s">
        <v>251</v>
      </c>
      <c r="D41" s="36">
        <v>0</v>
      </c>
      <c r="F41" s="28">
        <f>ROUND(SUMIF(Определители!I9:I16,"=3",'Текущие цены с учетом расхода'!O9:O16),2)</f>
        <v>0</v>
      </c>
      <c r="G41" s="28"/>
      <c r="H41" s="28"/>
      <c r="I41" s="28"/>
      <c r="J41" s="32"/>
      <c r="K41" s="32"/>
      <c r="L41" s="28"/>
    </row>
    <row r="42" spans="1:12" ht="10.5">
      <c r="A42" s="29">
        <v>33</v>
      </c>
      <c r="B42" s="7" t="s">
        <v>105</v>
      </c>
      <c r="C42" s="33" t="s">
        <v>252</v>
      </c>
      <c r="D42" s="36">
        <v>0</v>
      </c>
      <c r="F42" s="28">
        <f>ROUND((F38+F40+F41),2)</f>
        <v>0</v>
      </c>
      <c r="G42" s="28"/>
      <c r="H42" s="28"/>
      <c r="I42" s="28"/>
      <c r="J42" s="32"/>
      <c r="K42" s="32"/>
      <c r="L42" s="28"/>
    </row>
    <row r="43" spans="1:12" ht="10.5">
      <c r="A43" s="29">
        <v>34</v>
      </c>
      <c r="B43" s="7" t="s">
        <v>106</v>
      </c>
      <c r="C43" s="33" t="s">
        <v>251</v>
      </c>
      <c r="D43" s="36">
        <v>0</v>
      </c>
      <c r="F43" s="28">
        <f>ROUND(SUMIF(Определители!I9:I16,"=4",'Текущие цены с учетом расхода'!B9:B16),2)</f>
        <v>0</v>
      </c>
      <c r="G43" s="28">
        <f>ROUND(SUMIF(Определители!I9:I16,"=4",'Текущие цены с учетом расхода'!C9:C16),2)</f>
        <v>0</v>
      </c>
      <c r="H43" s="28">
        <f>ROUND(SUMIF(Определители!I9:I16,"=4",'Текущие цены с учетом расхода'!D9:D16),2)</f>
        <v>0</v>
      </c>
      <c r="I43" s="28">
        <f>ROUND(SUMIF(Определители!I9:I16,"=4",'Текущие цены с учетом расхода'!E9:E16),2)</f>
        <v>0</v>
      </c>
      <c r="J43" s="32">
        <f>ROUND(SUMIF(Определители!I9:I16,"=4",'Текущие цены с учетом расхода'!I9:I16),8)</f>
        <v>0</v>
      </c>
      <c r="K43" s="32">
        <f>ROUND(SUMIF(Определители!I9:I16,"=4",'Текущие цены с учетом расхода'!K9:K16),8)</f>
        <v>0</v>
      </c>
      <c r="L43" s="28">
        <f>ROUND(SUMIF(Определители!I9:I16,"=4",'Текущие цены с учетом расхода'!F9:F16),2)</f>
        <v>0</v>
      </c>
    </row>
    <row r="44" spans="1:12" ht="10.5">
      <c r="A44" s="29">
        <v>35</v>
      </c>
      <c r="B44" s="7" t="s">
        <v>93</v>
      </c>
      <c r="C44" s="33" t="s">
        <v>251</v>
      </c>
      <c r="D44" s="36">
        <v>0</v>
      </c>
      <c r="F44" s="28"/>
      <c r="G44" s="28"/>
      <c r="H44" s="28"/>
      <c r="I44" s="28"/>
      <c r="J44" s="32"/>
      <c r="K44" s="32"/>
      <c r="L44" s="28"/>
    </row>
    <row r="45" spans="1:12" ht="10.5">
      <c r="A45" s="29">
        <v>36</v>
      </c>
      <c r="B45" s="7" t="s">
        <v>107</v>
      </c>
      <c r="C45" s="33" t="s">
        <v>251</v>
      </c>
      <c r="D45" s="36">
        <v>0</v>
      </c>
      <c r="F45" s="28">
        <f>ROUND(SUMIF(Определители!I9:I16,"=4",'Текущие цены с учетом расхода'!AJ9:AJ16),2)</f>
        <v>0</v>
      </c>
      <c r="G45" s="28">
        <f>ROUND(SUMIF(Определители!I9:I16,"=4",'Текущие цены с учетом расхода'!AI9:AI16),2)</f>
        <v>0</v>
      </c>
      <c r="H45" s="28">
        <f>ROUND(SUMIF(Определители!I9:I16,"=4",'Текущие цены с учетом расхода'!AH9:AH16),2)</f>
        <v>0</v>
      </c>
      <c r="I45" s="28">
        <f>ROUND(SUMIF(Определители!I9:I16,"=4",'Текущие цены с учетом расхода'!V9:V16),2)</f>
        <v>0</v>
      </c>
      <c r="J45" s="32"/>
      <c r="K45" s="32"/>
      <c r="L45" s="28"/>
    </row>
    <row r="46" spans="1:12" ht="10.5">
      <c r="A46" s="29">
        <v>37</v>
      </c>
      <c r="B46" s="7" t="s">
        <v>97</v>
      </c>
      <c r="C46" s="33" t="s">
        <v>251</v>
      </c>
      <c r="D46" s="36">
        <v>0</v>
      </c>
      <c r="F46" s="28">
        <f>ROUND(SUMIF(Определители!I9:I16,"=4",'Текущие цены с учетом расхода'!H9:H16),2)</f>
        <v>0</v>
      </c>
      <c r="G46" s="28"/>
      <c r="H46" s="28"/>
      <c r="I46" s="28"/>
      <c r="J46" s="32"/>
      <c r="K46" s="32"/>
      <c r="L46" s="28"/>
    </row>
    <row r="47" spans="1:12" ht="10.5">
      <c r="A47" s="29">
        <v>38</v>
      </c>
      <c r="B47" s="7" t="s">
        <v>98</v>
      </c>
      <c r="C47" s="33" t="s">
        <v>251</v>
      </c>
      <c r="D47" s="36">
        <v>0</v>
      </c>
      <c r="F47" s="28">
        <f>ROUND(SUMIF(Определители!I9:I16,"=4",'Текущие цены с учетом расхода'!N9:N16),2)</f>
        <v>0</v>
      </c>
      <c r="G47" s="28"/>
      <c r="H47" s="28"/>
      <c r="I47" s="28"/>
      <c r="J47" s="32"/>
      <c r="K47" s="32"/>
      <c r="L47" s="28"/>
    </row>
    <row r="48" spans="1:12" ht="10.5">
      <c r="A48" s="29">
        <v>39</v>
      </c>
      <c r="B48" s="7" t="s">
        <v>99</v>
      </c>
      <c r="C48" s="33" t="s">
        <v>251</v>
      </c>
      <c r="D48" s="36">
        <v>0</v>
      </c>
      <c r="F48" s="28">
        <f>ROUND(SUMIF(Определители!I9:I16,"=4",'Текущие цены с учетом расхода'!O9:O16),2)</f>
        <v>0</v>
      </c>
      <c r="G48" s="28"/>
      <c r="H48" s="28"/>
      <c r="I48" s="28"/>
      <c r="J48" s="32"/>
      <c r="K48" s="32"/>
      <c r="L48" s="28"/>
    </row>
    <row r="49" spans="1:12" ht="10.5">
      <c r="A49" s="29">
        <v>40</v>
      </c>
      <c r="B49" s="7" t="s">
        <v>90</v>
      </c>
      <c r="C49" s="33" t="s">
        <v>251</v>
      </c>
      <c r="D49" s="36">
        <v>0</v>
      </c>
      <c r="F49" s="28">
        <f>ROUND(СУММПРОИЗВЕСЛИ(1,Определители!I9:I16," ",'Текущие цены с учетом расхода'!M9:M16,Начисления!I9:I16,0),2)</f>
        <v>0</v>
      </c>
      <c r="G49" s="28"/>
      <c r="H49" s="28"/>
      <c r="I49" s="28"/>
      <c r="J49" s="32"/>
      <c r="K49" s="32"/>
      <c r="L49" s="28"/>
    </row>
    <row r="50" spans="1:12" ht="10.5">
      <c r="A50" s="29">
        <v>41</v>
      </c>
      <c r="B50" s="7" t="s">
        <v>108</v>
      </c>
      <c r="C50" s="33" t="s">
        <v>252</v>
      </c>
      <c r="D50" s="36">
        <v>0</v>
      </c>
      <c r="F50" s="28">
        <f>ROUND((F43+F47+F48),2)</f>
        <v>0</v>
      </c>
      <c r="G50" s="28"/>
      <c r="H50" s="28"/>
      <c r="I50" s="28"/>
      <c r="J50" s="32"/>
      <c r="K50" s="32"/>
      <c r="L50" s="28"/>
    </row>
    <row r="51" spans="1:12" ht="10.5">
      <c r="A51" s="29">
        <v>42</v>
      </c>
      <c r="B51" s="7" t="s">
        <v>109</v>
      </c>
      <c r="C51" s="33" t="s">
        <v>251</v>
      </c>
      <c r="D51" s="36">
        <v>0</v>
      </c>
      <c r="F51" s="28">
        <f>ROUND(SUMIF(Определители!I9:I16,"=5",'Текущие цены с учетом расхода'!B9:B16),2)</f>
        <v>0</v>
      </c>
      <c r="G51" s="28">
        <f>ROUND(SUMIF(Определители!I9:I16,"=5",'Текущие цены с учетом расхода'!C9:C16),2)</f>
        <v>0</v>
      </c>
      <c r="H51" s="28">
        <f>ROUND(SUMIF(Определители!I9:I16,"=5",'Текущие цены с учетом расхода'!D9:D16),2)</f>
        <v>0</v>
      </c>
      <c r="I51" s="28">
        <f>ROUND(SUMIF(Определители!I9:I16,"=5",'Текущие цены с учетом расхода'!E9:E16),2)</f>
        <v>0</v>
      </c>
      <c r="J51" s="32">
        <f>ROUND(SUMIF(Определители!I9:I16,"=5",'Текущие цены с учетом расхода'!I9:I16),8)</f>
        <v>0</v>
      </c>
      <c r="K51" s="32">
        <f>ROUND(SUMIF(Определители!I9:I16,"=5",'Текущие цены с учетом расхода'!K9:K16),8)</f>
        <v>0</v>
      </c>
      <c r="L51" s="28">
        <f>ROUND(SUMIF(Определители!I9:I16,"=5",'Текущие цены с учетом расхода'!F9:F16),2)</f>
        <v>0</v>
      </c>
    </row>
    <row r="52" spans="1:12" ht="10.5">
      <c r="A52" s="29">
        <v>43</v>
      </c>
      <c r="B52" s="7" t="s">
        <v>97</v>
      </c>
      <c r="C52" s="33" t="s">
        <v>251</v>
      </c>
      <c r="D52" s="36">
        <v>0</v>
      </c>
      <c r="F52" s="28">
        <f>ROUND(SUMIF(Определители!I9:I16,"=5",'Текущие цены с учетом расхода'!H9:H16),2)</f>
        <v>0</v>
      </c>
      <c r="G52" s="28"/>
      <c r="H52" s="28"/>
      <c r="I52" s="28"/>
      <c r="J52" s="32"/>
      <c r="K52" s="32"/>
      <c r="L52" s="28"/>
    </row>
    <row r="53" spans="1:12" ht="10.5">
      <c r="A53" s="29">
        <v>44</v>
      </c>
      <c r="B53" s="7" t="s">
        <v>98</v>
      </c>
      <c r="C53" s="33" t="s">
        <v>251</v>
      </c>
      <c r="D53" s="36">
        <v>0</v>
      </c>
      <c r="F53" s="28">
        <f>ROUND(SUMIF(Определители!I9:I16,"=5",'Текущие цены с учетом расхода'!N9:N16),2)</f>
        <v>0</v>
      </c>
      <c r="G53" s="28"/>
      <c r="H53" s="28"/>
      <c r="I53" s="28"/>
      <c r="J53" s="32"/>
      <c r="K53" s="32"/>
      <c r="L53" s="28"/>
    </row>
    <row r="54" spans="1:12" ht="10.5">
      <c r="A54" s="29">
        <v>45</v>
      </c>
      <c r="B54" s="7" t="s">
        <v>99</v>
      </c>
      <c r="C54" s="33" t="s">
        <v>251</v>
      </c>
      <c r="D54" s="36">
        <v>0</v>
      </c>
      <c r="F54" s="28">
        <f>ROUND(SUMIF(Определители!I9:I16,"=5",'Текущие цены с учетом расхода'!O9:O16),2)</f>
        <v>0</v>
      </c>
      <c r="G54" s="28"/>
      <c r="H54" s="28"/>
      <c r="I54" s="28"/>
      <c r="J54" s="32"/>
      <c r="K54" s="32"/>
      <c r="L54" s="28"/>
    </row>
    <row r="55" spans="1:12" ht="10.5">
      <c r="A55" s="29">
        <v>46</v>
      </c>
      <c r="B55" s="7" t="s">
        <v>110</v>
      </c>
      <c r="C55" s="33" t="s">
        <v>252</v>
      </c>
      <c r="D55" s="36">
        <v>0</v>
      </c>
      <c r="F55" s="28">
        <f>ROUND((F51+F53+F54),2)</f>
        <v>0</v>
      </c>
      <c r="G55" s="28"/>
      <c r="H55" s="28"/>
      <c r="I55" s="28"/>
      <c r="J55" s="32"/>
      <c r="K55" s="32"/>
      <c r="L55" s="28"/>
    </row>
    <row r="56" spans="1:12" ht="10.5">
      <c r="A56" s="29">
        <v>47</v>
      </c>
      <c r="B56" s="7" t="s">
        <v>111</v>
      </c>
      <c r="C56" s="33" t="s">
        <v>251</v>
      </c>
      <c r="D56" s="36">
        <v>0</v>
      </c>
      <c r="F56" s="28">
        <f>ROUND(SUMIF(Определители!I9:I16,"=6",'Текущие цены с учетом расхода'!B9:B16),2)</f>
        <v>0</v>
      </c>
      <c r="G56" s="28">
        <f>ROUND(SUMIF(Определители!I9:I16,"=6",'Текущие цены с учетом расхода'!C9:C16),2)</f>
        <v>0</v>
      </c>
      <c r="H56" s="28">
        <f>ROUND(SUMIF(Определители!I9:I16,"=6",'Текущие цены с учетом расхода'!D9:D16),2)</f>
        <v>0</v>
      </c>
      <c r="I56" s="28">
        <f>ROUND(SUMIF(Определители!I9:I16,"=6",'Текущие цены с учетом расхода'!E9:E16),2)</f>
        <v>0</v>
      </c>
      <c r="J56" s="32">
        <f>ROUND(SUMIF(Определители!I9:I16,"=6",'Текущие цены с учетом расхода'!I9:I16),8)</f>
        <v>0</v>
      </c>
      <c r="K56" s="32">
        <f>ROUND(SUMIF(Определители!I9:I16,"=6",'Текущие цены с учетом расхода'!K9:K16),8)</f>
        <v>0</v>
      </c>
      <c r="L56" s="28">
        <f>ROUND(SUMIF(Определители!I9:I16,"=6",'Текущие цены с учетом расхода'!F9:F16),2)</f>
        <v>0</v>
      </c>
    </row>
    <row r="57" spans="1:12" ht="10.5">
      <c r="A57" s="29">
        <v>48</v>
      </c>
      <c r="B57" s="7" t="s">
        <v>97</v>
      </c>
      <c r="C57" s="33" t="s">
        <v>251</v>
      </c>
      <c r="D57" s="36">
        <v>0</v>
      </c>
      <c r="F57" s="28">
        <f>ROUND(SUMIF(Определители!I9:I16,"=6",'Текущие цены с учетом расхода'!H9:H16),2)</f>
        <v>0</v>
      </c>
      <c r="G57" s="28"/>
      <c r="H57" s="28"/>
      <c r="I57" s="28"/>
      <c r="J57" s="32"/>
      <c r="K57" s="32"/>
      <c r="L57" s="28"/>
    </row>
    <row r="58" spans="1:12" ht="10.5">
      <c r="A58" s="29">
        <v>49</v>
      </c>
      <c r="B58" s="7" t="s">
        <v>98</v>
      </c>
      <c r="C58" s="33" t="s">
        <v>251</v>
      </c>
      <c r="D58" s="36">
        <v>0</v>
      </c>
      <c r="F58" s="28">
        <f>ROUND(SUMIF(Определители!I9:I16,"=6",'Текущие цены с учетом расхода'!N9:N16),2)</f>
        <v>0</v>
      </c>
      <c r="G58" s="28"/>
      <c r="H58" s="28"/>
      <c r="I58" s="28"/>
      <c r="J58" s="32"/>
      <c r="K58" s="32"/>
      <c r="L58" s="28"/>
    </row>
    <row r="59" spans="1:12" ht="10.5">
      <c r="A59" s="29">
        <v>50</v>
      </c>
      <c r="B59" s="7" t="s">
        <v>99</v>
      </c>
      <c r="C59" s="33" t="s">
        <v>251</v>
      </c>
      <c r="D59" s="36">
        <v>0</v>
      </c>
      <c r="F59" s="28">
        <f>ROUND(SUMIF(Определители!I9:I16,"=6",'Текущие цены с учетом расхода'!O9:O16),2)</f>
        <v>0</v>
      </c>
      <c r="G59" s="28"/>
      <c r="H59" s="28"/>
      <c r="I59" s="28"/>
      <c r="J59" s="32"/>
      <c r="K59" s="32"/>
      <c r="L59" s="28"/>
    </row>
    <row r="60" spans="1:12" ht="10.5">
      <c r="A60" s="29">
        <v>51</v>
      </c>
      <c r="B60" s="7" t="s">
        <v>112</v>
      </c>
      <c r="C60" s="33" t="s">
        <v>252</v>
      </c>
      <c r="D60" s="36">
        <v>0</v>
      </c>
      <c r="F60" s="28">
        <f>ROUND((F56+F58+F59),2)</f>
        <v>0</v>
      </c>
      <c r="G60" s="28"/>
      <c r="H60" s="28"/>
      <c r="I60" s="28"/>
      <c r="J60" s="32"/>
      <c r="K60" s="32"/>
      <c r="L60" s="28"/>
    </row>
    <row r="61" spans="1:12" ht="10.5">
      <c r="A61" s="29">
        <v>52</v>
      </c>
      <c r="B61" s="7" t="s">
        <v>113</v>
      </c>
      <c r="C61" s="33" t="s">
        <v>251</v>
      </c>
      <c r="D61" s="36">
        <v>0</v>
      </c>
      <c r="F61" s="28">
        <f>ROUND(SUMIF(Определители!I9:I16,"=7",'Текущие цены с учетом расхода'!B9:B16),2)</f>
        <v>0</v>
      </c>
      <c r="G61" s="28">
        <f>ROUND(SUMIF(Определители!I9:I16,"=7",'Текущие цены с учетом расхода'!C9:C16),2)</f>
        <v>0</v>
      </c>
      <c r="H61" s="28">
        <f>ROUND(SUMIF(Определители!I9:I16,"=7",'Текущие цены с учетом расхода'!D9:D16),2)</f>
        <v>0</v>
      </c>
      <c r="I61" s="28">
        <f>ROUND(SUMIF(Определители!I9:I16,"=7",'Текущие цены с учетом расхода'!E9:E16),2)</f>
        <v>0</v>
      </c>
      <c r="J61" s="32">
        <f>ROUND(SUMIF(Определители!I9:I16,"=7",'Текущие цены с учетом расхода'!I9:I16),8)</f>
        <v>0</v>
      </c>
      <c r="K61" s="32">
        <f>ROUND(SUMIF(Определители!I9:I16,"=7",'Текущие цены с учетом расхода'!K9:K16),8)</f>
        <v>0</v>
      </c>
      <c r="L61" s="28">
        <f>ROUND(SUMIF(Определители!I9:I16,"=7",'Текущие цены с учетом расхода'!F9:F16),2)</f>
        <v>0</v>
      </c>
    </row>
    <row r="62" spans="1:12" ht="10.5">
      <c r="A62" s="29">
        <v>53</v>
      </c>
      <c r="B62" s="7" t="s">
        <v>93</v>
      </c>
      <c r="C62" s="33" t="s">
        <v>251</v>
      </c>
      <c r="D62" s="36">
        <v>0</v>
      </c>
      <c r="F62" s="28"/>
      <c r="G62" s="28"/>
      <c r="H62" s="28"/>
      <c r="I62" s="28"/>
      <c r="J62" s="32"/>
      <c r="K62" s="32"/>
      <c r="L62" s="28"/>
    </row>
    <row r="63" spans="1:12" ht="10.5">
      <c r="A63" s="29">
        <v>54</v>
      </c>
      <c r="B63" s="7" t="s">
        <v>102</v>
      </c>
      <c r="C63" s="33" t="s">
        <v>251</v>
      </c>
      <c r="D63" s="36">
        <v>0</v>
      </c>
      <c r="F63" s="28">
        <f>ROUND(СУММЕСЛИ2(Определители!I9:I16,"2",Определители!G9:G16,"1",'Текущие цены с учетом расхода'!B9:B16),2)</f>
        <v>0</v>
      </c>
      <c r="G63" s="28"/>
      <c r="H63" s="28"/>
      <c r="I63" s="28"/>
      <c r="J63" s="32"/>
      <c r="K63" s="32"/>
      <c r="L63" s="28"/>
    </row>
    <row r="64" spans="1:12" ht="10.5">
      <c r="A64" s="29">
        <v>55</v>
      </c>
      <c r="B64" s="7" t="s">
        <v>97</v>
      </c>
      <c r="C64" s="33" t="s">
        <v>251</v>
      </c>
      <c r="D64" s="36">
        <v>0</v>
      </c>
      <c r="F64" s="28">
        <f>ROUND(SUMIF(Определители!I9:I16,"=7",'Текущие цены с учетом расхода'!H9:H16),2)</f>
        <v>0</v>
      </c>
      <c r="G64" s="28"/>
      <c r="H64" s="28"/>
      <c r="I64" s="28"/>
      <c r="J64" s="32"/>
      <c r="K64" s="32"/>
      <c r="L64" s="28"/>
    </row>
    <row r="65" spans="1:12" ht="10.5">
      <c r="A65" s="29">
        <v>56</v>
      </c>
      <c r="B65" s="7" t="s">
        <v>98</v>
      </c>
      <c r="C65" s="33" t="s">
        <v>251</v>
      </c>
      <c r="D65" s="36">
        <v>0</v>
      </c>
      <c r="F65" s="28">
        <f>ROUND(SUMIF(Определители!I9:I16,"=7",'Текущие цены с учетом расхода'!N9:N16),2)</f>
        <v>0</v>
      </c>
      <c r="G65" s="28"/>
      <c r="H65" s="28"/>
      <c r="I65" s="28"/>
      <c r="J65" s="32"/>
      <c r="K65" s="32"/>
      <c r="L65" s="28"/>
    </row>
    <row r="66" spans="1:12" ht="10.5">
      <c r="A66" s="29">
        <v>57</v>
      </c>
      <c r="B66" s="7" t="s">
        <v>99</v>
      </c>
      <c r="C66" s="33" t="s">
        <v>251</v>
      </c>
      <c r="D66" s="36">
        <v>0</v>
      </c>
      <c r="F66" s="28">
        <f>ROUND(SUMIF(Определители!I9:I16,"=7",'Текущие цены с учетом расхода'!O9:O16),2)</f>
        <v>0</v>
      </c>
      <c r="G66" s="28"/>
      <c r="H66" s="28"/>
      <c r="I66" s="28"/>
      <c r="J66" s="32"/>
      <c r="K66" s="32"/>
      <c r="L66" s="28"/>
    </row>
    <row r="67" spans="1:12" ht="10.5">
      <c r="A67" s="29">
        <v>58</v>
      </c>
      <c r="B67" s="7" t="s">
        <v>114</v>
      </c>
      <c r="C67" s="33" t="s">
        <v>252</v>
      </c>
      <c r="D67" s="36">
        <v>0</v>
      </c>
      <c r="F67" s="28">
        <f>ROUND((F61+F65+F66),2)</f>
        <v>0</v>
      </c>
      <c r="G67" s="28"/>
      <c r="H67" s="28"/>
      <c r="I67" s="28"/>
      <c r="J67" s="32"/>
      <c r="K67" s="32"/>
      <c r="L67" s="28"/>
    </row>
    <row r="68" spans="1:12" ht="10.5">
      <c r="A68" s="29">
        <v>59</v>
      </c>
      <c r="B68" s="7" t="s">
        <v>115</v>
      </c>
      <c r="C68" s="33" t="s">
        <v>251</v>
      </c>
      <c r="D68" s="36">
        <v>0</v>
      </c>
      <c r="F68" s="28">
        <f>ROUND(SUMIF(Определители!I9:I16,"=;",'Текущие цены с учетом расхода'!B9:B16),2)</f>
        <v>0</v>
      </c>
      <c r="G68" s="28">
        <f>ROUND(SUMIF(Определители!I9:I16,"=;",'Текущие цены с учетом расхода'!C9:C16),2)</f>
        <v>0</v>
      </c>
      <c r="H68" s="28">
        <f>ROUND(SUMIF(Определители!I9:I16,"=;",'Текущие цены с учетом расхода'!D9:D16),2)</f>
        <v>0</v>
      </c>
      <c r="I68" s="28">
        <f>ROUND(SUMIF(Определители!I9:I16,"=;",'Текущие цены с учетом расхода'!E9:E16),2)</f>
        <v>0</v>
      </c>
      <c r="J68" s="32">
        <f>ROUND(SUMIF(Определители!I9:I16,"=;",'Текущие цены с учетом расхода'!I9:I16),8)</f>
        <v>0</v>
      </c>
      <c r="K68" s="32">
        <f>ROUND(SUMIF(Определители!I9:I16,"=;",'Текущие цены с учетом расхода'!K9:K16),8)</f>
        <v>0</v>
      </c>
      <c r="L68" s="28">
        <f>ROUND(SUMIF(Определители!I9:I16,"=;",'Текущие цены с учетом расхода'!F9:F16),2)</f>
        <v>0</v>
      </c>
    </row>
    <row r="69" spans="1:12" ht="10.5">
      <c r="A69" s="29">
        <v>60</v>
      </c>
      <c r="B69" s="7" t="s">
        <v>116</v>
      </c>
      <c r="C69" s="33" t="s">
        <v>251</v>
      </c>
      <c r="D69" s="36">
        <v>0</v>
      </c>
      <c r="F69" s="28">
        <f>ROUND(SUMIF(Определители!I9:I16,"=;",'Текущие цены с учетом расхода'!AF9:AF16),2)</f>
        <v>0</v>
      </c>
      <c r="G69" s="28"/>
      <c r="H69" s="28"/>
      <c r="I69" s="28"/>
      <c r="J69" s="32"/>
      <c r="K69" s="32"/>
      <c r="L69" s="28"/>
    </row>
    <row r="70" spans="1:12" ht="10.5">
      <c r="A70" s="29">
        <v>61</v>
      </c>
      <c r="B70" s="7" t="s">
        <v>117</v>
      </c>
      <c r="C70" s="33" t="s">
        <v>251</v>
      </c>
      <c r="D70" s="36">
        <v>0</v>
      </c>
      <c r="F70" s="28">
        <f>ROUND(SUMIF(Определители!I9:I16,"=;",'Текущие цены с учетом расхода'!AG9:AG16),2)</f>
        <v>0</v>
      </c>
      <c r="G70" s="28"/>
      <c r="H70" s="28"/>
      <c r="I70" s="28"/>
      <c r="J70" s="32"/>
      <c r="K70" s="32"/>
      <c r="L70" s="28"/>
    </row>
    <row r="71" spans="1:12" ht="10.5">
      <c r="A71" s="29">
        <v>62</v>
      </c>
      <c r="B71" s="7" t="s">
        <v>98</v>
      </c>
      <c r="C71" s="33" t="s">
        <v>251</v>
      </c>
      <c r="D71" s="36">
        <v>0</v>
      </c>
      <c r="F71" s="28">
        <f>ROUND(SUMIF(Определители!I9:I16,"=;",'Текущие цены с учетом расхода'!N9:N16),2)</f>
        <v>0</v>
      </c>
      <c r="G71" s="28"/>
      <c r="H71" s="28"/>
      <c r="I71" s="28"/>
      <c r="J71" s="32"/>
      <c r="K71" s="32"/>
      <c r="L71" s="28"/>
    </row>
    <row r="72" spans="1:12" ht="10.5">
      <c r="A72" s="29">
        <v>63</v>
      </c>
      <c r="B72" s="7" t="s">
        <v>99</v>
      </c>
      <c r="C72" s="33" t="s">
        <v>251</v>
      </c>
      <c r="D72" s="36">
        <v>0</v>
      </c>
      <c r="F72" s="28">
        <f>ROUND(SUMIF(Определители!I9:I16,"=;",'Текущие цены с учетом расхода'!O9:O16),2)</f>
        <v>0</v>
      </c>
      <c r="G72" s="28"/>
      <c r="H72" s="28"/>
      <c r="I72" s="28"/>
      <c r="J72" s="32"/>
      <c r="K72" s="32"/>
      <c r="L72" s="28"/>
    </row>
    <row r="73" spans="1:12" ht="10.5">
      <c r="A73" s="29">
        <v>64</v>
      </c>
      <c r="B73" s="7" t="s">
        <v>118</v>
      </c>
      <c r="C73" s="33" t="s">
        <v>252</v>
      </c>
      <c r="D73" s="36">
        <v>0</v>
      </c>
      <c r="F73" s="28">
        <f>ROUND((F68+F71+F72),2)</f>
        <v>0</v>
      </c>
      <c r="G73" s="28"/>
      <c r="H73" s="28"/>
      <c r="I73" s="28"/>
      <c r="J73" s="32"/>
      <c r="K73" s="32"/>
      <c r="L73" s="28"/>
    </row>
    <row r="74" spans="1:12" ht="10.5">
      <c r="A74" s="29">
        <v>65</v>
      </c>
      <c r="B74" s="7" t="s">
        <v>119</v>
      </c>
      <c r="C74" s="33" t="s">
        <v>251</v>
      </c>
      <c r="D74" s="36">
        <v>0</v>
      </c>
      <c r="F74" s="28">
        <f>ROUND(SUMIF(Определители!I9:I16,"=9",'Текущие цены с учетом расхода'!B9:B16),2)</f>
        <v>0</v>
      </c>
      <c r="G74" s="28">
        <f>ROUND(SUMIF(Определители!I9:I16,"=9",'Текущие цены с учетом расхода'!C9:C16),2)</f>
        <v>0</v>
      </c>
      <c r="H74" s="28">
        <f>ROUND(SUMIF(Определители!I9:I16,"=9",'Текущие цены с учетом расхода'!D9:D16),2)</f>
        <v>0</v>
      </c>
      <c r="I74" s="28">
        <f>ROUND(SUMIF(Определители!I9:I16,"=9",'Текущие цены с учетом расхода'!E9:E16),2)</f>
        <v>0</v>
      </c>
      <c r="J74" s="32">
        <f>ROUND(SUMIF(Определители!I9:I16,"=9",'Текущие цены с учетом расхода'!I9:I16),8)</f>
        <v>0</v>
      </c>
      <c r="K74" s="32">
        <f>ROUND(SUMIF(Определители!I9:I16,"=9",'Текущие цены с учетом расхода'!K9:K16),8)</f>
        <v>0</v>
      </c>
      <c r="L74" s="28">
        <f>ROUND(SUMIF(Определители!I9:I16,"=9",'Текущие цены с учетом расхода'!F9:F16),2)</f>
        <v>0</v>
      </c>
    </row>
    <row r="75" spans="1:12" ht="10.5">
      <c r="A75" s="29">
        <v>66</v>
      </c>
      <c r="B75" s="7" t="s">
        <v>98</v>
      </c>
      <c r="C75" s="33" t="s">
        <v>251</v>
      </c>
      <c r="D75" s="36">
        <v>0</v>
      </c>
      <c r="F75" s="28">
        <f>ROUND(SUMIF(Определители!I9:I16,"=9",'Текущие цены с учетом расхода'!N9:N16),2)</f>
        <v>0</v>
      </c>
      <c r="G75" s="28"/>
      <c r="H75" s="28"/>
      <c r="I75" s="28"/>
      <c r="J75" s="32"/>
      <c r="K75" s="32"/>
      <c r="L75" s="28"/>
    </row>
    <row r="76" spans="1:12" ht="10.5">
      <c r="A76" s="29">
        <v>67</v>
      </c>
      <c r="B76" s="7" t="s">
        <v>99</v>
      </c>
      <c r="C76" s="33" t="s">
        <v>251</v>
      </c>
      <c r="D76" s="36">
        <v>0</v>
      </c>
      <c r="F76" s="28">
        <f>ROUND(SUMIF(Определители!I9:I16,"=9",'Текущие цены с учетом расхода'!O9:O16),2)</f>
        <v>0</v>
      </c>
      <c r="G76" s="28"/>
      <c r="H76" s="28"/>
      <c r="I76" s="28"/>
      <c r="J76" s="32"/>
      <c r="K76" s="32"/>
      <c r="L76" s="28"/>
    </row>
    <row r="77" spans="1:12" ht="10.5">
      <c r="A77" s="29">
        <v>68</v>
      </c>
      <c r="B77" s="7" t="s">
        <v>120</v>
      </c>
      <c r="C77" s="33" t="s">
        <v>252</v>
      </c>
      <c r="D77" s="36">
        <v>0</v>
      </c>
      <c r="F77" s="28">
        <f>ROUND((F74+F75+F76),2)</f>
        <v>0</v>
      </c>
      <c r="G77" s="28"/>
      <c r="H77" s="28"/>
      <c r="I77" s="28"/>
      <c r="J77" s="32"/>
      <c r="K77" s="32"/>
      <c r="L77" s="28"/>
    </row>
    <row r="78" spans="1:12" ht="10.5">
      <c r="A78" s="29">
        <v>69</v>
      </c>
      <c r="B78" s="7" t="s">
        <v>121</v>
      </c>
      <c r="C78" s="33" t="s">
        <v>251</v>
      </c>
      <c r="D78" s="36">
        <v>0</v>
      </c>
      <c r="F78" s="28">
        <f>ROUND(SUMIF(Определители!I9:I16,"=:",'Текущие цены с учетом расхода'!B9:B16),2)</f>
        <v>0</v>
      </c>
      <c r="G78" s="28">
        <f>ROUND(SUMIF(Определители!I9:I16,"=:",'Текущие цены с учетом расхода'!C9:C16),2)</f>
        <v>0</v>
      </c>
      <c r="H78" s="28">
        <f>ROUND(SUMIF(Определители!I9:I16,"=:",'Текущие цены с учетом расхода'!D9:D16),2)</f>
        <v>0</v>
      </c>
      <c r="I78" s="28">
        <f>ROUND(SUMIF(Определители!I9:I16,"=:",'Текущие цены с учетом расхода'!E9:E16),2)</f>
        <v>0</v>
      </c>
      <c r="J78" s="32">
        <f>ROUND(SUMIF(Определители!I9:I16,"=:",'Текущие цены с учетом расхода'!I9:I16),8)</f>
        <v>0</v>
      </c>
      <c r="K78" s="32">
        <f>ROUND(SUMIF(Определители!I9:I16,"=:",'Текущие цены с учетом расхода'!K9:K16),8)</f>
        <v>0</v>
      </c>
      <c r="L78" s="28">
        <f>ROUND(SUMIF(Определители!I9:I16,"=:",'Текущие цены с учетом расхода'!F9:F16),2)</f>
        <v>0</v>
      </c>
    </row>
    <row r="79" spans="1:12" ht="10.5">
      <c r="A79" s="29">
        <v>70</v>
      </c>
      <c r="B79" s="7" t="s">
        <v>97</v>
      </c>
      <c r="C79" s="33" t="s">
        <v>251</v>
      </c>
      <c r="D79" s="36">
        <v>0</v>
      </c>
      <c r="F79" s="28">
        <f>ROUND(SUMIF(Определители!I9:I16,"=:",'Текущие цены с учетом расхода'!H9:H16),2)</f>
        <v>0</v>
      </c>
      <c r="G79" s="28"/>
      <c r="H79" s="28"/>
      <c r="I79" s="28"/>
      <c r="J79" s="32"/>
      <c r="K79" s="32"/>
      <c r="L79" s="28"/>
    </row>
    <row r="80" spans="1:12" ht="10.5">
      <c r="A80" s="29">
        <v>71</v>
      </c>
      <c r="B80" s="7" t="s">
        <v>98</v>
      </c>
      <c r="C80" s="33" t="s">
        <v>251</v>
      </c>
      <c r="D80" s="36">
        <v>0</v>
      </c>
      <c r="F80" s="28">
        <f>ROUND(SUMIF(Определители!I9:I16,"=:",'Текущие цены с учетом расхода'!N9:N16),2)</f>
        <v>0</v>
      </c>
      <c r="G80" s="28"/>
      <c r="H80" s="28"/>
      <c r="I80" s="28"/>
      <c r="J80" s="32"/>
      <c r="K80" s="32"/>
      <c r="L80" s="28"/>
    </row>
    <row r="81" spans="1:12" ht="10.5">
      <c r="A81" s="29">
        <v>72</v>
      </c>
      <c r="B81" s="7" t="s">
        <v>99</v>
      </c>
      <c r="C81" s="33" t="s">
        <v>251</v>
      </c>
      <c r="D81" s="36">
        <v>0</v>
      </c>
      <c r="F81" s="28">
        <f>ROUND(SUMIF(Определители!I9:I16,"=:",'Текущие цены с учетом расхода'!O9:O16),2)</f>
        <v>0</v>
      </c>
      <c r="G81" s="28"/>
      <c r="H81" s="28"/>
      <c r="I81" s="28"/>
      <c r="J81" s="32"/>
      <c r="K81" s="32"/>
      <c r="L81" s="28"/>
    </row>
    <row r="82" spans="1:12" ht="10.5">
      <c r="A82" s="29">
        <v>73</v>
      </c>
      <c r="B82" s="7" t="s">
        <v>122</v>
      </c>
      <c r="C82" s="33" t="s">
        <v>252</v>
      </c>
      <c r="D82" s="36">
        <v>0</v>
      </c>
      <c r="F82" s="28">
        <f>ROUND((F78+F80+F81),2)</f>
        <v>0</v>
      </c>
      <c r="G82" s="28"/>
      <c r="H82" s="28"/>
      <c r="I82" s="28"/>
      <c r="J82" s="32"/>
      <c r="K82" s="32"/>
      <c r="L82" s="28"/>
    </row>
    <row r="83" spans="1:12" ht="10.5">
      <c r="A83" s="29">
        <v>74</v>
      </c>
      <c r="B83" s="7" t="s">
        <v>123</v>
      </c>
      <c r="C83" s="33" t="s">
        <v>251</v>
      </c>
      <c r="D83" s="36">
        <v>0</v>
      </c>
      <c r="F83" s="28">
        <f>ROUND(SUMIF(Определители!I9:I16,"=8",'Текущие цены с учетом расхода'!B9:B16),2)</f>
        <v>0</v>
      </c>
      <c r="G83" s="28">
        <f>ROUND(SUMIF(Определители!I9:I16,"=8",'Текущие цены с учетом расхода'!C9:C16),2)</f>
        <v>0</v>
      </c>
      <c r="H83" s="28">
        <f>ROUND(SUMIF(Определители!I9:I16,"=8",'Текущие цены с учетом расхода'!D9:D16),2)</f>
        <v>0</v>
      </c>
      <c r="I83" s="28">
        <f>ROUND(SUMIF(Определители!I9:I16,"=8",'Текущие цены с учетом расхода'!E9:E16),2)</f>
        <v>0</v>
      </c>
      <c r="J83" s="32">
        <f>ROUND(SUMIF(Определители!I9:I16,"=8",'Текущие цены с учетом расхода'!I9:I16),8)</f>
        <v>0</v>
      </c>
      <c r="K83" s="32">
        <f>ROUND(SUMIF(Определители!I9:I16,"=8",'Текущие цены с учетом расхода'!K9:K16),8)</f>
        <v>0</v>
      </c>
      <c r="L83" s="28">
        <f>ROUND(SUMIF(Определители!I9:I16,"=8",'Текущие цены с учетом расхода'!F9:F16),2)</f>
        <v>0</v>
      </c>
    </row>
    <row r="84" spans="1:12" ht="10.5">
      <c r="A84" s="29">
        <v>75</v>
      </c>
      <c r="B84" s="7" t="s">
        <v>97</v>
      </c>
      <c r="C84" s="33" t="s">
        <v>251</v>
      </c>
      <c r="D84" s="36">
        <v>0</v>
      </c>
      <c r="F84" s="28">
        <f>ROUND(SUMIF(Определители!I9:I16,"=8",'Текущие цены с учетом расхода'!H9:H16),2)</f>
        <v>0</v>
      </c>
      <c r="G84" s="28"/>
      <c r="H84" s="28"/>
      <c r="I84" s="28"/>
      <c r="J84" s="32"/>
      <c r="K84" s="32"/>
      <c r="L84" s="28"/>
    </row>
    <row r="85" spans="1:12" ht="10.5">
      <c r="A85" s="29">
        <v>76</v>
      </c>
      <c r="B85" s="7" t="s">
        <v>135</v>
      </c>
      <c r="C85" s="33" t="s">
        <v>252</v>
      </c>
      <c r="D85" s="36">
        <v>0</v>
      </c>
      <c r="F85" s="28">
        <f>ROUND((F20+F30+F37+F42+F50+F55+F60+F67+F77+F82+F83+F73),2)</f>
        <v>105807.55</v>
      </c>
      <c r="G85" s="28">
        <f>ROUND((G20+G30+G37+G42+G50+G55+G60+G67+G77+G82+G83+G73),2)</f>
        <v>0</v>
      </c>
      <c r="H85" s="28">
        <f>ROUND((H20+H30+H37+H42+H50+H55+H60+H67+H77+H82+H83+H73),2)</f>
        <v>0</v>
      </c>
      <c r="I85" s="28">
        <f>ROUND((I20+I30+I37+I42+I50+I55+I60+I67+I77+I82+I83+I73),2)</f>
        <v>0</v>
      </c>
      <c r="J85" s="32">
        <f>ROUND((J20+J30+J37+J42+J50+J55+J60+J67+J77+J82+J83+J73),8)</f>
        <v>0</v>
      </c>
      <c r="K85" s="32">
        <f>ROUND((K20+K30+K37+K42+K50+K55+K60+K67+K77+K82+K83+K73),8)</f>
        <v>0</v>
      </c>
      <c r="L85" s="28">
        <f>ROUND((L20+L30+L37+L42+L50+L55+L60+L67+L77+L82+L83+L73),2)</f>
        <v>0</v>
      </c>
    </row>
    <row r="86" spans="1:12" ht="10.5">
      <c r="A86" s="29">
        <v>77</v>
      </c>
      <c r="B86" s="7" t="s">
        <v>124</v>
      </c>
      <c r="C86" s="33" t="s">
        <v>252</v>
      </c>
      <c r="D86" s="36">
        <v>0</v>
      </c>
      <c r="F86" s="28">
        <f>ROUND((F26+F34+F39+F46+F52+F57+F64+F79+F84),2)</f>
        <v>0</v>
      </c>
      <c r="G86" s="28"/>
      <c r="H86" s="28"/>
      <c r="I86" s="28"/>
      <c r="J86" s="32"/>
      <c r="K86" s="32"/>
      <c r="L86" s="28"/>
    </row>
    <row r="87" spans="1:12" ht="10.5">
      <c r="A87" s="29">
        <v>78</v>
      </c>
      <c r="B87" s="7" t="s">
        <v>125</v>
      </c>
      <c r="C87" s="33" t="s">
        <v>252</v>
      </c>
      <c r="D87" s="36">
        <v>0</v>
      </c>
      <c r="F87" s="28">
        <f>ROUND((F27+F35+F40+F47+F53+F58+F65+F75+F80+F71),2)</f>
        <v>5578.46</v>
      </c>
      <c r="G87" s="28"/>
      <c r="H87" s="28"/>
      <c r="I87" s="28"/>
      <c r="J87" s="32"/>
      <c r="K87" s="32"/>
      <c r="L87" s="28"/>
    </row>
    <row r="88" spans="1:12" ht="10.5">
      <c r="A88" s="29">
        <v>79</v>
      </c>
      <c r="B88" s="7" t="s">
        <v>126</v>
      </c>
      <c r="C88" s="33" t="s">
        <v>252</v>
      </c>
      <c r="D88" s="36">
        <v>0</v>
      </c>
      <c r="F88" s="28">
        <f>ROUND((F28+F36+F41+F48+F54+F59+F66+F76+F81+F72),2)</f>
        <v>2641.94</v>
      </c>
      <c r="G88" s="28"/>
      <c r="H88" s="28"/>
      <c r="I88" s="28"/>
      <c r="J88" s="32"/>
      <c r="K88" s="32"/>
      <c r="L88" s="28"/>
    </row>
    <row r="89" spans="1:12" ht="10.5">
      <c r="A89" s="29">
        <v>80</v>
      </c>
      <c r="B89" s="7" t="s">
        <v>41</v>
      </c>
      <c r="C89" s="33" t="s">
        <v>253</v>
      </c>
      <c r="D89" s="36">
        <v>0</v>
      </c>
      <c r="F89" s="28">
        <f>ROUND(SUM('Текущие цены с учетом расхода'!X9:X16),2)</f>
        <v>0</v>
      </c>
      <c r="G89" s="28"/>
      <c r="H89" s="28"/>
      <c r="I89" s="28"/>
      <c r="J89" s="32"/>
      <c r="K89" s="32"/>
      <c r="L89" s="28">
        <f>ROUND(SUM('Текущие цены с учетом расхода'!X9:X16),2)</f>
        <v>0</v>
      </c>
    </row>
    <row r="90" spans="1:12" ht="10.5">
      <c r="A90" s="29">
        <v>81</v>
      </c>
      <c r="B90" s="7" t="s">
        <v>127</v>
      </c>
      <c r="C90" s="33" t="s">
        <v>253</v>
      </c>
      <c r="D90" s="36">
        <v>0</v>
      </c>
      <c r="F90" s="28">
        <f>ROUND(SUM(G90:N90),2)</f>
        <v>0</v>
      </c>
      <c r="G90" s="28"/>
      <c r="H90" s="28"/>
      <c r="I90" s="28"/>
      <c r="J90" s="32"/>
      <c r="K90" s="32"/>
      <c r="L90" s="28">
        <f>ROUND(SUM('Текущие цены с учетом расхода'!AE9:AE16),2)</f>
        <v>0</v>
      </c>
    </row>
    <row r="91" spans="1:12" ht="10.5">
      <c r="A91" s="29">
        <v>82</v>
      </c>
      <c r="B91" s="7" t="s">
        <v>128</v>
      </c>
      <c r="C91" s="33" t="s">
        <v>253</v>
      </c>
      <c r="D91" s="36">
        <v>0</v>
      </c>
      <c r="F91" s="28">
        <f>ROUND(SUM('Текущие цены с учетом расхода'!C9:C16),2)</f>
        <v>6070.41</v>
      </c>
      <c r="G91" s="28"/>
      <c r="H91" s="28"/>
      <c r="I91" s="28"/>
      <c r="J91" s="32"/>
      <c r="K91" s="32"/>
      <c r="L91" s="28"/>
    </row>
    <row r="92" spans="1:12" ht="10.5">
      <c r="A92" s="29">
        <v>83</v>
      </c>
      <c r="B92" s="7" t="s">
        <v>129</v>
      </c>
      <c r="C92" s="33" t="s">
        <v>253</v>
      </c>
      <c r="D92" s="36">
        <v>0</v>
      </c>
      <c r="F92" s="28">
        <f>ROUND(SUM('Текущие цены с учетом расхода'!E9:E16),2)</f>
        <v>192.49</v>
      </c>
      <c r="G92" s="28"/>
      <c r="H92" s="28"/>
      <c r="I92" s="28"/>
      <c r="J92" s="32"/>
      <c r="K92" s="32"/>
      <c r="L92" s="28"/>
    </row>
    <row r="93" spans="1:12" ht="10.5">
      <c r="A93" s="29">
        <v>84</v>
      </c>
      <c r="B93" s="7" t="s">
        <v>130</v>
      </c>
      <c r="C93" s="33" t="s">
        <v>254</v>
      </c>
      <c r="D93" s="36">
        <v>0</v>
      </c>
      <c r="F93" s="28">
        <f>ROUND((F91+F92),2)</f>
        <v>6262.9</v>
      </c>
      <c r="G93" s="28"/>
      <c r="H93" s="28"/>
      <c r="I93" s="28"/>
      <c r="J93" s="32"/>
      <c r="K93" s="32"/>
      <c r="L93" s="28"/>
    </row>
    <row r="94" spans="1:12" ht="10.5">
      <c r="A94" s="29">
        <v>85</v>
      </c>
      <c r="B94" s="7" t="s">
        <v>131</v>
      </c>
      <c r="C94" s="33" t="s">
        <v>253</v>
      </c>
      <c r="D94" s="36">
        <v>0</v>
      </c>
      <c r="F94" s="28"/>
      <c r="G94" s="28"/>
      <c r="H94" s="28"/>
      <c r="I94" s="28"/>
      <c r="J94" s="32">
        <f>ROUND(SUM('Текущие цены с учетом расхода'!I9:I16),8)</f>
        <v>26.350425</v>
      </c>
      <c r="K94" s="32"/>
      <c r="L94" s="28"/>
    </row>
    <row r="95" spans="1:12" ht="10.5">
      <c r="A95" s="29">
        <v>86</v>
      </c>
      <c r="B95" s="7" t="s">
        <v>132</v>
      </c>
      <c r="C95" s="33" t="s">
        <v>253</v>
      </c>
      <c r="D95" s="36">
        <v>0</v>
      </c>
      <c r="F95" s="28"/>
      <c r="G95" s="28"/>
      <c r="H95" s="28"/>
      <c r="I95" s="28"/>
      <c r="J95" s="32">
        <f>ROUND(SUM('Текущие цены с учетом расхода'!K9:K16),8)</f>
        <v>0.599795</v>
      </c>
      <c r="K95" s="32"/>
      <c r="L95" s="28"/>
    </row>
    <row r="96" spans="1:12" ht="10.5">
      <c r="A96" s="29">
        <v>87</v>
      </c>
      <c r="B96" s="7" t="s">
        <v>133</v>
      </c>
      <c r="C96" s="33" t="s">
        <v>254</v>
      </c>
      <c r="D96" s="36">
        <v>0</v>
      </c>
      <c r="F96" s="28"/>
      <c r="G96" s="28"/>
      <c r="H96" s="28"/>
      <c r="I96" s="28"/>
      <c r="J96" s="32">
        <f>ROUND((J94+J95),8)</f>
        <v>26.95022</v>
      </c>
      <c r="K96" s="32"/>
      <c r="L96" s="28"/>
    </row>
    <row r="97" spans="1:13" s="30" customFormat="1" ht="10.5">
      <c r="A97" s="5"/>
      <c r="B97" s="30" t="s">
        <v>238</v>
      </c>
      <c r="C97" s="30" t="s">
        <v>239</v>
      </c>
      <c r="D97" s="37" t="s">
        <v>240</v>
      </c>
      <c r="E97" s="30" t="s">
        <v>241</v>
      </c>
      <c r="F97" s="30" t="s">
        <v>242</v>
      </c>
      <c r="G97" s="30" t="s">
        <v>243</v>
      </c>
      <c r="H97" s="30" t="s">
        <v>244</v>
      </c>
      <c r="I97" s="30" t="s">
        <v>245</v>
      </c>
      <c r="J97" s="30" t="s">
        <v>246</v>
      </c>
      <c r="K97" s="30" t="s">
        <v>247</v>
      </c>
      <c r="L97" s="30" t="s">
        <v>248</v>
      </c>
      <c r="M97" s="30" t="s">
        <v>249</v>
      </c>
    </row>
    <row r="98" spans="1:14" ht="10.5">
      <c r="A98" s="29">
        <v>1</v>
      </c>
      <c r="B98" s="7" t="s">
        <v>134</v>
      </c>
      <c r="C98" s="33" t="s">
        <v>250</v>
      </c>
      <c r="D98" s="36">
        <v>0</v>
      </c>
      <c r="E98" s="36"/>
      <c r="F98" s="28">
        <f>ROUND(SUM('Текущие цены с учетом расхода'!B6:B16),2)</f>
        <v>97587.15</v>
      </c>
      <c r="G98" s="28">
        <f>ROUND(SUM('Текущие цены с учетом расхода'!C6:C16),2)</f>
        <v>6070.41</v>
      </c>
      <c r="H98" s="28">
        <f>ROUND(SUM('Текущие цены с учетом расхода'!D6:D16),2)</f>
        <v>357.05</v>
      </c>
      <c r="I98" s="28">
        <f>ROUND(SUM('Текущие цены с учетом расхода'!E6:E16),2)</f>
        <v>192.49</v>
      </c>
      <c r="J98" s="32">
        <f>ROUND(SUM('Текущие цены с учетом расхода'!I6:I16),8)</f>
        <v>26.350425</v>
      </c>
      <c r="K98" s="32">
        <f>ROUND(SUM('Текущие цены с учетом расхода'!K6:K16),8)</f>
        <v>0.599795</v>
      </c>
      <c r="L98" s="28">
        <f>ROUND(SUM('Текущие цены с учетом расхода'!F6:F16),2)</f>
        <v>91159.69</v>
      </c>
      <c r="N98" s="33" t="s">
        <v>234</v>
      </c>
    </row>
    <row r="99" spans="1:14" ht="10.5">
      <c r="A99" s="29">
        <v>2</v>
      </c>
      <c r="B99" s="7" t="s">
        <v>82</v>
      </c>
      <c r="C99" s="33" t="s">
        <v>251</v>
      </c>
      <c r="D99" s="36">
        <v>0</v>
      </c>
      <c r="F99" s="28">
        <f>ROUND(SUMIF(Определители!I6:I16,"= ",'Текущие цены с учетом расхода'!B6:B16),2)</f>
        <v>0</v>
      </c>
      <c r="G99" s="28">
        <f>ROUND(SUMIF(Определители!I6:I16,"= ",'Текущие цены с учетом расхода'!C6:C16),2)</f>
        <v>0</v>
      </c>
      <c r="H99" s="28">
        <f>ROUND(SUMIF(Определители!I6:I16,"= ",'Текущие цены с учетом расхода'!D6:D16),2)</f>
        <v>0</v>
      </c>
      <c r="I99" s="28">
        <f>ROUND(SUMIF(Определители!I6:I16,"= ",'Текущие цены с учетом расхода'!E6:E16),2)</f>
        <v>0</v>
      </c>
      <c r="J99" s="32">
        <f>ROUND(SUMIF(Определители!I6:I16,"= ",'Текущие цены с учетом расхода'!I6:I16),8)</f>
        <v>0</v>
      </c>
      <c r="K99" s="32">
        <f>ROUND(SUMIF(Определители!I6:I16,"= ",'Текущие цены с учетом расхода'!K6:K16),8)</f>
        <v>0</v>
      </c>
      <c r="L99" s="28">
        <f>ROUND(SUMIF(Определители!I6:I16,"= ",'Текущие цены с учетом расхода'!F6:F16),2)</f>
        <v>0</v>
      </c>
      <c r="N99" s="33" t="s">
        <v>237</v>
      </c>
    </row>
    <row r="100" spans="1:14" ht="10.5">
      <c r="A100" s="29">
        <v>3</v>
      </c>
      <c r="B100" s="7" t="s">
        <v>83</v>
      </c>
      <c r="C100" s="33" t="s">
        <v>251</v>
      </c>
      <c r="D100" s="36">
        <v>0</v>
      </c>
      <c r="F100" s="28">
        <f>ROUND(СУММПРОИЗВЕСЛИ(0.01,Определители!I6:I16," ",'Текущие цены с учетом расхода'!B6:B16,Начисления!X6:X16,0),2)</f>
        <v>0</v>
      </c>
      <c r="G100" s="28"/>
      <c r="H100" s="28"/>
      <c r="I100" s="28"/>
      <c r="J100" s="32"/>
      <c r="K100" s="32"/>
      <c r="L100" s="28"/>
      <c r="N100" s="33" t="s">
        <v>255</v>
      </c>
    </row>
    <row r="101" spans="1:14" ht="10.5">
      <c r="A101" s="29">
        <v>4</v>
      </c>
      <c r="B101" s="7" t="s">
        <v>84</v>
      </c>
      <c r="C101" s="33" t="s">
        <v>251</v>
      </c>
      <c r="D101" s="36">
        <v>0</v>
      </c>
      <c r="F101" s="28">
        <f>ROUND(СУММПРОИЗВЕСЛИ(0.01,Определители!I6:I16," ",'Текущие цены с учетом расхода'!B6:B16,Начисления!Y6:Y16,0),2)</f>
        <v>0</v>
      </c>
      <c r="G101" s="28"/>
      <c r="H101" s="28"/>
      <c r="I101" s="28"/>
      <c r="J101" s="32"/>
      <c r="K101" s="32"/>
      <c r="L101" s="28"/>
      <c r="N101" s="33" t="s">
        <v>256</v>
      </c>
    </row>
    <row r="102" spans="1:14" ht="10.5">
      <c r="A102" s="29">
        <v>5</v>
      </c>
      <c r="B102" s="7" t="s">
        <v>85</v>
      </c>
      <c r="C102" s="33" t="s">
        <v>251</v>
      </c>
      <c r="D102" s="36">
        <v>0</v>
      </c>
      <c r="F102" s="28">
        <f>ROUND(ТРАНСПРАСХОД(Определители!B6:B16,Определители!H6:H16,Определители!I6:I16,'Текущие цены с учетом расхода'!B6:B16,Начисления!Z6:Z16,Начисления!AA6:AA16),2)</f>
        <v>0</v>
      </c>
      <c r="G102" s="28"/>
      <c r="H102" s="28"/>
      <c r="I102" s="28"/>
      <c r="J102" s="32"/>
      <c r="K102" s="32"/>
      <c r="L102" s="28"/>
      <c r="N102" s="33" t="s">
        <v>257</v>
      </c>
    </row>
    <row r="103" spans="1:14" ht="10.5">
      <c r="A103" s="29">
        <v>6</v>
      </c>
      <c r="B103" s="7" t="s">
        <v>86</v>
      </c>
      <c r="C103" s="33" t="s">
        <v>251</v>
      </c>
      <c r="D103" s="36">
        <v>0</v>
      </c>
      <c r="F103" s="28">
        <f>ROUND(СУММПРОИЗВЕСЛИ(0.01,Определители!I6:I16," ",'Текущие цены с учетом расхода'!B6:B16,Начисления!AC6:AC16,0),2)</f>
        <v>0</v>
      </c>
      <c r="G103" s="28"/>
      <c r="H103" s="28"/>
      <c r="I103" s="28"/>
      <c r="J103" s="32"/>
      <c r="K103" s="32"/>
      <c r="L103" s="28"/>
      <c r="N103" s="33" t="s">
        <v>258</v>
      </c>
    </row>
    <row r="104" spans="1:14" ht="10.5">
      <c r="A104" s="29">
        <v>7</v>
      </c>
      <c r="B104" s="7" t="s">
        <v>87</v>
      </c>
      <c r="C104" s="33" t="s">
        <v>251</v>
      </c>
      <c r="D104" s="36">
        <v>0</v>
      </c>
      <c r="F104" s="28">
        <f>ROUND(СУММПРОИЗВЕСЛИ(0.01,Определители!I6:I16," ",'Текущие цены с учетом расхода'!B6:B16,Начисления!AF6:AF16,0),2)</f>
        <v>0</v>
      </c>
      <c r="G104" s="28"/>
      <c r="H104" s="28"/>
      <c r="I104" s="28"/>
      <c r="J104" s="32"/>
      <c r="K104" s="32"/>
      <c r="L104" s="28"/>
      <c r="N104" s="33" t="s">
        <v>259</v>
      </c>
    </row>
    <row r="105" spans="1:14" ht="10.5">
      <c r="A105" s="29">
        <v>8</v>
      </c>
      <c r="B105" s="7" t="s">
        <v>88</v>
      </c>
      <c r="C105" s="33" t="s">
        <v>251</v>
      </c>
      <c r="D105" s="36">
        <v>0</v>
      </c>
      <c r="F105" s="28">
        <f>ROUND(ЗАГОТСКЛАДРАСХОД(Определители!B6:B16,Определители!H6:H16,Определители!I6:I16,'Текущие цены с учетом расхода'!B6:B16,Начисления!X6:X16,Начисления!Y6:Y16,Начисления!Z6:Z16,Начисления!AA6:AA16,Начисления!AB6:AB16,Начисления!AC6:AC16,Начисления!AF6:AF16),2)</f>
        <v>0</v>
      </c>
      <c r="G105" s="28"/>
      <c r="H105" s="28"/>
      <c r="I105" s="28"/>
      <c r="J105" s="32"/>
      <c r="K105" s="32"/>
      <c r="L105" s="28"/>
      <c r="N105" s="33" t="s">
        <v>260</v>
      </c>
    </row>
    <row r="106" spans="1:14" ht="10.5">
      <c r="A106" s="29">
        <v>9</v>
      </c>
      <c r="B106" s="7" t="s">
        <v>89</v>
      </c>
      <c r="C106" s="33" t="s">
        <v>251</v>
      </c>
      <c r="D106" s="36">
        <v>0</v>
      </c>
      <c r="F106" s="28">
        <f>ROUND(СУММПРОИЗВЕСЛИ(1,Определители!I6:I16," ",'Текущие цены с учетом расхода'!M6:M16,Начисления!I6:I16,0),2)</f>
        <v>0</v>
      </c>
      <c r="G106" s="28"/>
      <c r="H106" s="28"/>
      <c r="I106" s="28"/>
      <c r="J106" s="32"/>
      <c r="K106" s="32"/>
      <c r="L106" s="28"/>
      <c r="N106" s="33" t="s">
        <v>261</v>
      </c>
    </row>
    <row r="107" spans="1:14" ht="10.5">
      <c r="A107" s="29">
        <v>10</v>
      </c>
      <c r="B107" s="7" t="s">
        <v>90</v>
      </c>
      <c r="C107" s="33" t="s">
        <v>252</v>
      </c>
      <c r="D107" s="36">
        <v>0</v>
      </c>
      <c r="F107" s="28">
        <f>ROUND((F106+F117+F137),2)</f>
        <v>0</v>
      </c>
      <c r="G107" s="28"/>
      <c r="H107" s="28"/>
      <c r="I107" s="28"/>
      <c r="J107" s="32"/>
      <c r="K107" s="32"/>
      <c r="L107" s="28"/>
      <c r="N107" s="33" t="s">
        <v>262</v>
      </c>
    </row>
    <row r="108" spans="1:14" ht="10.5">
      <c r="A108" s="29">
        <v>11</v>
      </c>
      <c r="B108" s="7" t="s">
        <v>91</v>
      </c>
      <c r="C108" s="33" t="s">
        <v>252</v>
      </c>
      <c r="D108" s="36">
        <v>0</v>
      </c>
      <c r="F108" s="28">
        <f>ROUND((F99+F100+F101+F102+F103+F104+F105+F107),2)</f>
        <v>0</v>
      </c>
      <c r="G108" s="28"/>
      <c r="H108" s="28"/>
      <c r="I108" s="28"/>
      <c r="J108" s="32"/>
      <c r="K108" s="32"/>
      <c r="L108" s="28"/>
      <c r="N108" s="33" t="s">
        <v>263</v>
      </c>
    </row>
    <row r="109" spans="1:14" ht="10.5">
      <c r="A109" s="29">
        <v>12</v>
      </c>
      <c r="B109" s="7" t="s">
        <v>92</v>
      </c>
      <c r="C109" s="33" t="s">
        <v>251</v>
      </c>
      <c r="D109" s="36">
        <v>0</v>
      </c>
      <c r="F109" s="28">
        <f>ROUND(SUMIF(Определители!I6:I16,"=1",'Текущие цены с учетом расхода'!B6:B16),2)</f>
        <v>0</v>
      </c>
      <c r="G109" s="28">
        <f>ROUND(SUMIF(Определители!I6:I16,"=1",'Текущие цены с учетом расхода'!C6:C16),2)</f>
        <v>0</v>
      </c>
      <c r="H109" s="28">
        <f>ROUND(SUMIF(Определители!I6:I16,"=1",'Текущие цены с учетом расхода'!D6:D16),2)</f>
        <v>0</v>
      </c>
      <c r="I109" s="28">
        <f>ROUND(SUMIF(Определители!I6:I16,"=1",'Текущие цены с учетом расхода'!E6:E16),2)</f>
        <v>0</v>
      </c>
      <c r="J109" s="32">
        <f>ROUND(SUMIF(Определители!I6:I16,"=1",'Текущие цены с учетом расхода'!I6:I16),8)</f>
        <v>0</v>
      </c>
      <c r="K109" s="32">
        <f>ROUND(SUMIF(Определители!I6:I16,"=1",'Текущие цены с учетом расхода'!K6:K16),8)</f>
        <v>0</v>
      </c>
      <c r="L109" s="28">
        <f>ROUND(SUMIF(Определители!I6:I16,"=1",'Текущие цены с учетом расхода'!F6:F16),2)</f>
        <v>0</v>
      </c>
      <c r="N109" s="33" t="s">
        <v>264</v>
      </c>
    </row>
    <row r="110" spans="1:14" ht="10.5">
      <c r="A110" s="29">
        <v>13</v>
      </c>
      <c r="B110" s="7" t="s">
        <v>93</v>
      </c>
      <c r="C110" s="33" t="s">
        <v>251</v>
      </c>
      <c r="D110" s="36">
        <v>0</v>
      </c>
      <c r="F110" s="28"/>
      <c r="G110" s="28"/>
      <c r="H110" s="28"/>
      <c r="I110" s="28"/>
      <c r="J110" s="32"/>
      <c r="K110" s="32"/>
      <c r="L110" s="28"/>
      <c r="N110" s="33" t="s">
        <v>265</v>
      </c>
    </row>
    <row r="111" spans="1:14" ht="10.5">
      <c r="A111" s="29">
        <v>14</v>
      </c>
      <c r="B111" s="7" t="s">
        <v>94</v>
      </c>
      <c r="C111" s="33" t="s">
        <v>251</v>
      </c>
      <c r="D111" s="36">
        <v>0</v>
      </c>
      <c r="F111" s="28"/>
      <c r="G111" s="28">
        <f>ROUND(SUMIF(Определители!I6:I16,"=1",'Текущие цены с учетом расхода'!T6:T16),2)</f>
        <v>0</v>
      </c>
      <c r="H111" s="28"/>
      <c r="I111" s="28"/>
      <c r="J111" s="32"/>
      <c r="K111" s="32"/>
      <c r="L111" s="28"/>
      <c r="N111" s="33" t="s">
        <v>266</v>
      </c>
    </row>
    <row r="112" spans="1:14" ht="10.5">
      <c r="A112" s="29">
        <v>15</v>
      </c>
      <c r="B112" s="7" t="s">
        <v>95</v>
      </c>
      <c r="C112" s="33" t="s">
        <v>251</v>
      </c>
      <c r="D112" s="36">
        <v>0</v>
      </c>
      <c r="F112" s="28">
        <f>ROUND(SUMIF(Определители!I6:I16,"=1",'Текущие цены с учетом расхода'!U6:U16),2)</f>
        <v>0</v>
      </c>
      <c r="G112" s="28"/>
      <c r="H112" s="28"/>
      <c r="I112" s="28"/>
      <c r="J112" s="32"/>
      <c r="K112" s="32"/>
      <c r="L112" s="28"/>
      <c r="N112" s="33" t="s">
        <v>267</v>
      </c>
    </row>
    <row r="113" spans="1:14" ht="10.5">
      <c r="A113" s="29">
        <v>16</v>
      </c>
      <c r="B113" s="7" t="s">
        <v>96</v>
      </c>
      <c r="C113" s="33" t="s">
        <v>251</v>
      </c>
      <c r="D113" s="36">
        <v>0</v>
      </c>
      <c r="F113" s="28">
        <f>ROUND(СУММЕСЛИ2(Определители!I6:I16,"1",Определители!G6:G16,"1",'Текущие цены с учетом расхода'!B6:B16),2)</f>
        <v>0</v>
      </c>
      <c r="G113" s="28"/>
      <c r="H113" s="28"/>
      <c r="I113" s="28"/>
      <c r="J113" s="32"/>
      <c r="K113" s="32"/>
      <c r="L113" s="28"/>
      <c r="N113" s="33" t="s">
        <v>268</v>
      </c>
    </row>
    <row r="114" spans="1:14" ht="10.5">
      <c r="A114" s="29">
        <v>17</v>
      </c>
      <c r="B114" s="7" t="s">
        <v>97</v>
      </c>
      <c r="C114" s="33" t="s">
        <v>251</v>
      </c>
      <c r="D114" s="36">
        <v>0</v>
      </c>
      <c r="F114" s="28">
        <f>ROUND(SUMIF(Определители!I6:I16,"=1",'Текущие цены с учетом расхода'!H6:H16),2)</f>
        <v>0</v>
      </c>
      <c r="G114" s="28"/>
      <c r="H114" s="28"/>
      <c r="I114" s="28"/>
      <c r="J114" s="32"/>
      <c r="K114" s="32"/>
      <c r="L114" s="28"/>
      <c r="N114" s="33" t="s">
        <v>269</v>
      </c>
    </row>
    <row r="115" spans="1:14" ht="10.5">
      <c r="A115" s="29">
        <v>18</v>
      </c>
      <c r="B115" s="7" t="s">
        <v>98</v>
      </c>
      <c r="C115" s="33" t="s">
        <v>251</v>
      </c>
      <c r="D115" s="36">
        <v>0</v>
      </c>
      <c r="F115" s="28">
        <f>ROUND(SUMIF(Определители!I6:I16,"=1",'Текущие цены с учетом расхода'!N6:N16),2)</f>
        <v>0</v>
      </c>
      <c r="G115" s="28"/>
      <c r="H115" s="28"/>
      <c r="I115" s="28"/>
      <c r="J115" s="32"/>
      <c r="K115" s="32"/>
      <c r="L115" s="28"/>
      <c r="N115" s="33" t="s">
        <v>270</v>
      </c>
    </row>
    <row r="116" spans="1:14" ht="10.5">
      <c r="A116" s="29">
        <v>19</v>
      </c>
      <c r="B116" s="7" t="s">
        <v>99</v>
      </c>
      <c r="C116" s="33" t="s">
        <v>251</v>
      </c>
      <c r="D116" s="36">
        <v>0</v>
      </c>
      <c r="F116" s="28">
        <f>ROUND(SUMIF(Определители!I6:I16,"=1",'Текущие цены с учетом расхода'!O6:O16),2)</f>
        <v>0</v>
      </c>
      <c r="G116" s="28"/>
      <c r="H116" s="28"/>
      <c r="I116" s="28"/>
      <c r="J116" s="32"/>
      <c r="K116" s="32"/>
      <c r="L116" s="28"/>
      <c r="N116" s="33" t="s">
        <v>271</v>
      </c>
    </row>
    <row r="117" spans="1:14" ht="10.5">
      <c r="A117" s="29">
        <v>20</v>
      </c>
      <c r="B117" s="7" t="s">
        <v>90</v>
      </c>
      <c r="C117" s="33" t="s">
        <v>251</v>
      </c>
      <c r="D117" s="36">
        <v>0</v>
      </c>
      <c r="F117" s="28">
        <f>ROUND(СУММПРОИЗВЕСЛИ(1,Определители!I6:I16," ",'Текущие цены с учетом расхода'!M6:M16,Начисления!I6:I16,0),2)</f>
        <v>0</v>
      </c>
      <c r="G117" s="28"/>
      <c r="H117" s="28"/>
      <c r="I117" s="28"/>
      <c r="J117" s="32"/>
      <c r="K117" s="32"/>
      <c r="L117" s="28"/>
      <c r="N117" s="33" t="s">
        <v>272</v>
      </c>
    </row>
    <row r="118" spans="1:14" ht="10.5">
      <c r="A118" s="29">
        <v>21</v>
      </c>
      <c r="B118" s="7" t="s">
        <v>100</v>
      </c>
      <c r="C118" s="33" t="s">
        <v>252</v>
      </c>
      <c r="D118" s="36">
        <v>0</v>
      </c>
      <c r="F118" s="28">
        <f>ROUND((F109+F115+F116),2)</f>
        <v>0</v>
      </c>
      <c r="G118" s="28"/>
      <c r="H118" s="28"/>
      <c r="I118" s="28"/>
      <c r="J118" s="32"/>
      <c r="K118" s="32"/>
      <c r="L118" s="28"/>
      <c r="N118" s="33" t="s">
        <v>273</v>
      </c>
    </row>
    <row r="119" spans="1:14" ht="10.5">
      <c r="A119" s="29">
        <v>22</v>
      </c>
      <c r="B119" s="7" t="s">
        <v>101</v>
      </c>
      <c r="C119" s="33" t="s">
        <v>251</v>
      </c>
      <c r="D119" s="36">
        <v>0</v>
      </c>
      <c r="F119" s="28">
        <f>ROUND(SUMIF(Определители!I6:I16,"=2",'Текущие цены с учетом расхода'!B6:B16),2)</f>
        <v>97587.15</v>
      </c>
      <c r="G119" s="28">
        <f>ROUND(SUMIF(Определители!I6:I16,"=2",'Текущие цены с учетом расхода'!C6:C16),2)</f>
        <v>6070.41</v>
      </c>
      <c r="H119" s="28">
        <f>ROUND(SUMIF(Определители!I6:I16,"=2",'Текущие цены с учетом расхода'!D6:D16),2)</f>
        <v>357.05</v>
      </c>
      <c r="I119" s="28">
        <f>ROUND(SUMIF(Определители!I6:I16,"=2",'Текущие цены с учетом расхода'!E6:E16),2)</f>
        <v>192.49</v>
      </c>
      <c r="J119" s="32">
        <f>ROUND(SUMIF(Определители!I6:I16,"=2",'Текущие цены с учетом расхода'!I6:I16),8)</f>
        <v>26.350425</v>
      </c>
      <c r="K119" s="32">
        <f>ROUND(SUMIF(Определители!I6:I16,"=2",'Текущие цены с учетом расхода'!K6:K16),8)</f>
        <v>0.599795</v>
      </c>
      <c r="L119" s="28">
        <f>ROUND(SUMIF(Определители!I6:I16,"=2",'Текущие цены с учетом расхода'!F6:F16),2)</f>
        <v>91159.69</v>
      </c>
      <c r="N119" s="33" t="s">
        <v>274</v>
      </c>
    </row>
    <row r="120" spans="1:14" ht="10.5">
      <c r="A120" s="29">
        <v>23</v>
      </c>
      <c r="B120" s="7" t="s">
        <v>93</v>
      </c>
      <c r="C120" s="33" t="s">
        <v>251</v>
      </c>
      <c r="D120" s="36">
        <v>0</v>
      </c>
      <c r="F120" s="28"/>
      <c r="G120" s="28"/>
      <c r="H120" s="28"/>
      <c r="I120" s="28"/>
      <c r="J120" s="32"/>
      <c r="K120" s="32"/>
      <c r="L120" s="28"/>
      <c r="N120" s="33" t="s">
        <v>275</v>
      </c>
    </row>
    <row r="121" spans="1:14" ht="10.5">
      <c r="A121" s="29">
        <v>24</v>
      </c>
      <c r="B121" s="7" t="s">
        <v>102</v>
      </c>
      <c r="C121" s="33" t="s">
        <v>251</v>
      </c>
      <c r="D121" s="36">
        <v>0</v>
      </c>
      <c r="F121" s="28">
        <f>ROUND(СУММЕСЛИ2(Определители!I6:I16,"2",Определители!G6:G16,"1",'Текущие цены с учетом расхода'!B6:B16),2)</f>
        <v>0</v>
      </c>
      <c r="G121" s="28"/>
      <c r="H121" s="28"/>
      <c r="I121" s="28"/>
      <c r="J121" s="32"/>
      <c r="K121" s="32"/>
      <c r="L121" s="28"/>
      <c r="N121" s="33" t="s">
        <v>276</v>
      </c>
    </row>
    <row r="122" spans="1:14" ht="10.5">
      <c r="A122" s="29">
        <v>25</v>
      </c>
      <c r="B122" s="7" t="s">
        <v>97</v>
      </c>
      <c r="C122" s="33" t="s">
        <v>251</v>
      </c>
      <c r="D122" s="36">
        <v>0</v>
      </c>
      <c r="F122" s="28">
        <f>ROUND(SUMIF(Определители!I6:I16,"=2",'Текущие цены с учетом расхода'!H6:H16),2)</f>
        <v>0</v>
      </c>
      <c r="G122" s="28"/>
      <c r="H122" s="28"/>
      <c r="I122" s="28"/>
      <c r="J122" s="32"/>
      <c r="K122" s="32"/>
      <c r="L122" s="28"/>
      <c r="N122" s="33" t="s">
        <v>277</v>
      </c>
    </row>
    <row r="123" spans="1:14" ht="10.5">
      <c r="A123" s="29">
        <v>26</v>
      </c>
      <c r="B123" s="7" t="s">
        <v>98</v>
      </c>
      <c r="C123" s="33" t="s">
        <v>251</v>
      </c>
      <c r="D123" s="36">
        <v>0</v>
      </c>
      <c r="F123" s="28">
        <f>ROUND(SUMIF(Определители!I6:I16,"=2",'Текущие цены с учетом расхода'!N6:N16),2)</f>
        <v>5578.46</v>
      </c>
      <c r="G123" s="28"/>
      <c r="H123" s="28"/>
      <c r="I123" s="28"/>
      <c r="J123" s="32"/>
      <c r="K123" s="32"/>
      <c r="L123" s="28"/>
      <c r="N123" s="33" t="s">
        <v>278</v>
      </c>
    </row>
    <row r="124" spans="1:14" ht="10.5">
      <c r="A124" s="29">
        <v>27</v>
      </c>
      <c r="B124" s="7" t="s">
        <v>99</v>
      </c>
      <c r="C124" s="33" t="s">
        <v>251</v>
      </c>
      <c r="D124" s="36">
        <v>0</v>
      </c>
      <c r="F124" s="28">
        <f>ROUND(SUMIF(Определители!I6:I16,"=2",'Текущие цены с учетом расхода'!O6:O16),2)</f>
        <v>2641.94</v>
      </c>
      <c r="G124" s="28"/>
      <c r="H124" s="28"/>
      <c r="I124" s="28"/>
      <c r="J124" s="32"/>
      <c r="K124" s="32"/>
      <c r="L124" s="28"/>
      <c r="N124" s="33" t="s">
        <v>279</v>
      </c>
    </row>
    <row r="125" spans="1:14" ht="10.5">
      <c r="A125" s="29">
        <v>28</v>
      </c>
      <c r="B125" s="7" t="s">
        <v>103</v>
      </c>
      <c r="C125" s="33" t="s">
        <v>252</v>
      </c>
      <c r="D125" s="36">
        <v>0</v>
      </c>
      <c r="F125" s="28">
        <f>ROUND((F119+F123+F124),2)</f>
        <v>105807.55</v>
      </c>
      <c r="G125" s="28"/>
      <c r="H125" s="28"/>
      <c r="I125" s="28"/>
      <c r="J125" s="32"/>
      <c r="K125" s="32"/>
      <c r="L125" s="28"/>
      <c r="N125" s="33" t="s">
        <v>280</v>
      </c>
    </row>
    <row r="126" spans="1:14" ht="10.5">
      <c r="A126" s="29">
        <v>29</v>
      </c>
      <c r="B126" s="7" t="s">
        <v>104</v>
      </c>
      <c r="C126" s="33" t="s">
        <v>251</v>
      </c>
      <c r="D126" s="36">
        <v>0</v>
      </c>
      <c r="F126" s="28">
        <f>ROUND(SUMIF(Определители!I6:I16,"=3",'Текущие цены с учетом расхода'!B6:B16),2)</f>
        <v>0</v>
      </c>
      <c r="G126" s="28">
        <f>ROUND(SUMIF(Определители!I6:I16,"=3",'Текущие цены с учетом расхода'!C6:C16),2)</f>
        <v>0</v>
      </c>
      <c r="H126" s="28">
        <f>ROUND(SUMIF(Определители!I6:I16,"=3",'Текущие цены с учетом расхода'!D6:D16),2)</f>
        <v>0</v>
      </c>
      <c r="I126" s="28">
        <f>ROUND(SUMIF(Определители!I6:I16,"=3",'Текущие цены с учетом расхода'!E6:E16),2)</f>
        <v>0</v>
      </c>
      <c r="J126" s="32">
        <f>ROUND(SUMIF(Определители!I6:I16,"=3",'Текущие цены с учетом расхода'!I6:I16),8)</f>
        <v>0</v>
      </c>
      <c r="K126" s="32">
        <f>ROUND(SUMIF(Определители!I6:I16,"=3",'Текущие цены с учетом расхода'!K6:K16),8)</f>
        <v>0</v>
      </c>
      <c r="L126" s="28">
        <f>ROUND(SUMIF(Определители!I6:I16,"=3",'Текущие цены с учетом расхода'!F6:F16),2)</f>
        <v>0</v>
      </c>
      <c r="N126" s="33" t="s">
        <v>281</v>
      </c>
    </row>
    <row r="127" spans="1:14" ht="10.5">
      <c r="A127" s="29">
        <v>30</v>
      </c>
      <c r="B127" s="7" t="s">
        <v>97</v>
      </c>
      <c r="C127" s="33" t="s">
        <v>251</v>
      </c>
      <c r="D127" s="36">
        <v>0</v>
      </c>
      <c r="F127" s="28">
        <f>ROUND(SUMIF(Определители!I6:I16,"=3",'Текущие цены с учетом расхода'!H6:H16),2)</f>
        <v>0</v>
      </c>
      <c r="G127" s="28"/>
      <c r="H127" s="28"/>
      <c r="I127" s="28"/>
      <c r="J127" s="32"/>
      <c r="K127" s="32"/>
      <c r="L127" s="28"/>
      <c r="N127" s="33" t="s">
        <v>282</v>
      </c>
    </row>
    <row r="128" spans="1:14" ht="10.5">
      <c r="A128" s="29">
        <v>31</v>
      </c>
      <c r="B128" s="7" t="s">
        <v>98</v>
      </c>
      <c r="C128" s="33" t="s">
        <v>251</v>
      </c>
      <c r="D128" s="36">
        <v>0</v>
      </c>
      <c r="F128" s="28">
        <f>ROUND(SUMIF(Определители!I6:I16,"=3",'Текущие цены с учетом расхода'!N6:N16),2)</f>
        <v>0</v>
      </c>
      <c r="G128" s="28"/>
      <c r="H128" s="28"/>
      <c r="I128" s="28"/>
      <c r="J128" s="32"/>
      <c r="K128" s="32"/>
      <c r="L128" s="28"/>
      <c r="N128" s="33" t="s">
        <v>283</v>
      </c>
    </row>
    <row r="129" spans="1:14" ht="10.5">
      <c r="A129" s="29">
        <v>32</v>
      </c>
      <c r="B129" s="7" t="s">
        <v>99</v>
      </c>
      <c r="C129" s="33" t="s">
        <v>251</v>
      </c>
      <c r="D129" s="36">
        <v>0</v>
      </c>
      <c r="F129" s="28">
        <f>ROUND(SUMIF(Определители!I6:I16,"=3",'Текущие цены с учетом расхода'!O6:O16),2)</f>
        <v>0</v>
      </c>
      <c r="G129" s="28"/>
      <c r="H129" s="28"/>
      <c r="I129" s="28"/>
      <c r="J129" s="32"/>
      <c r="K129" s="32"/>
      <c r="L129" s="28"/>
      <c r="N129" s="33" t="s">
        <v>284</v>
      </c>
    </row>
    <row r="130" spans="1:14" ht="10.5">
      <c r="A130" s="29">
        <v>33</v>
      </c>
      <c r="B130" s="7" t="s">
        <v>105</v>
      </c>
      <c r="C130" s="33" t="s">
        <v>252</v>
      </c>
      <c r="D130" s="36">
        <v>0</v>
      </c>
      <c r="F130" s="28">
        <f>ROUND((F126+F128+F129),2)</f>
        <v>0</v>
      </c>
      <c r="G130" s="28"/>
      <c r="H130" s="28"/>
      <c r="I130" s="28"/>
      <c r="J130" s="32"/>
      <c r="K130" s="32"/>
      <c r="L130" s="28"/>
      <c r="N130" s="33" t="s">
        <v>285</v>
      </c>
    </row>
    <row r="131" spans="1:14" ht="10.5">
      <c r="A131" s="29">
        <v>34</v>
      </c>
      <c r="B131" s="7" t="s">
        <v>106</v>
      </c>
      <c r="C131" s="33" t="s">
        <v>251</v>
      </c>
      <c r="D131" s="36">
        <v>0</v>
      </c>
      <c r="F131" s="28">
        <f>ROUND(SUMIF(Определители!I6:I16,"=4",'Текущие цены с учетом расхода'!B6:B16),2)</f>
        <v>0</v>
      </c>
      <c r="G131" s="28">
        <f>ROUND(SUMIF(Определители!I6:I16,"=4",'Текущие цены с учетом расхода'!C6:C16),2)</f>
        <v>0</v>
      </c>
      <c r="H131" s="28">
        <f>ROUND(SUMIF(Определители!I6:I16,"=4",'Текущие цены с учетом расхода'!D6:D16),2)</f>
        <v>0</v>
      </c>
      <c r="I131" s="28">
        <f>ROUND(SUMIF(Определители!I6:I16,"=4",'Текущие цены с учетом расхода'!E6:E16),2)</f>
        <v>0</v>
      </c>
      <c r="J131" s="32">
        <f>ROUND(SUMIF(Определители!I6:I16,"=4",'Текущие цены с учетом расхода'!I6:I16),8)</f>
        <v>0</v>
      </c>
      <c r="K131" s="32">
        <f>ROUND(SUMIF(Определители!I6:I16,"=4",'Текущие цены с учетом расхода'!K6:K16),8)</f>
        <v>0</v>
      </c>
      <c r="L131" s="28">
        <f>ROUND(SUMIF(Определители!I6:I16,"=4",'Текущие цены с учетом расхода'!F6:F16),2)</f>
        <v>0</v>
      </c>
      <c r="N131" s="33" t="s">
        <v>286</v>
      </c>
    </row>
    <row r="132" spans="1:14" ht="10.5">
      <c r="A132" s="29">
        <v>35</v>
      </c>
      <c r="B132" s="7" t="s">
        <v>93</v>
      </c>
      <c r="C132" s="33" t="s">
        <v>251</v>
      </c>
      <c r="D132" s="36">
        <v>0</v>
      </c>
      <c r="F132" s="28"/>
      <c r="G132" s="28"/>
      <c r="H132" s="28"/>
      <c r="I132" s="28"/>
      <c r="J132" s="32"/>
      <c r="K132" s="32"/>
      <c r="L132" s="28"/>
      <c r="N132" s="33" t="s">
        <v>287</v>
      </c>
    </row>
    <row r="133" spans="1:14" ht="10.5">
      <c r="A133" s="29">
        <v>36</v>
      </c>
      <c r="B133" s="7" t="s">
        <v>107</v>
      </c>
      <c r="C133" s="33" t="s">
        <v>251</v>
      </c>
      <c r="D133" s="36">
        <v>0</v>
      </c>
      <c r="F133" s="28">
        <f>ROUND(SUMIF(Определители!I6:I16,"=4",'Текущие цены с учетом расхода'!AJ6:AJ16),2)</f>
        <v>0</v>
      </c>
      <c r="G133" s="28">
        <f>ROUND(SUMIF(Определители!I6:I16,"=4",'Текущие цены с учетом расхода'!AI6:AI16),2)</f>
        <v>0</v>
      </c>
      <c r="H133" s="28">
        <f>ROUND(SUMIF(Определители!I6:I16,"=4",'Текущие цены с учетом расхода'!AH6:AH16),2)</f>
        <v>0</v>
      </c>
      <c r="I133" s="28">
        <f>ROUND(SUMIF(Определители!I6:I16,"=4",'Текущие цены с учетом расхода'!V6:V16),2)</f>
        <v>0</v>
      </c>
      <c r="J133" s="32"/>
      <c r="K133" s="32"/>
      <c r="L133" s="28"/>
      <c r="N133" s="33" t="s">
        <v>288</v>
      </c>
    </row>
    <row r="134" spans="1:14" ht="10.5">
      <c r="A134" s="29">
        <v>37</v>
      </c>
      <c r="B134" s="7" t="s">
        <v>97</v>
      </c>
      <c r="C134" s="33" t="s">
        <v>251</v>
      </c>
      <c r="D134" s="36">
        <v>0</v>
      </c>
      <c r="F134" s="28">
        <f>ROUND(SUMIF(Определители!I6:I16,"=4",'Текущие цены с учетом расхода'!H6:H16),2)</f>
        <v>0</v>
      </c>
      <c r="G134" s="28"/>
      <c r="H134" s="28"/>
      <c r="I134" s="28"/>
      <c r="J134" s="32"/>
      <c r="K134" s="32"/>
      <c r="L134" s="28"/>
      <c r="N134" s="33" t="s">
        <v>289</v>
      </c>
    </row>
    <row r="135" spans="1:14" ht="10.5">
      <c r="A135" s="29">
        <v>38</v>
      </c>
      <c r="B135" s="7" t="s">
        <v>98</v>
      </c>
      <c r="C135" s="33" t="s">
        <v>251</v>
      </c>
      <c r="D135" s="36">
        <v>0</v>
      </c>
      <c r="F135" s="28">
        <f>ROUND(SUMIF(Определители!I6:I16,"=4",'Текущие цены с учетом расхода'!N6:N16),2)</f>
        <v>0</v>
      </c>
      <c r="G135" s="28"/>
      <c r="H135" s="28"/>
      <c r="I135" s="28"/>
      <c r="J135" s="32"/>
      <c r="K135" s="32"/>
      <c r="L135" s="28"/>
      <c r="N135" s="33" t="s">
        <v>290</v>
      </c>
    </row>
    <row r="136" spans="1:14" ht="10.5">
      <c r="A136" s="29">
        <v>39</v>
      </c>
      <c r="B136" s="7" t="s">
        <v>99</v>
      </c>
      <c r="C136" s="33" t="s">
        <v>251</v>
      </c>
      <c r="D136" s="36">
        <v>0</v>
      </c>
      <c r="F136" s="28">
        <f>ROUND(SUMIF(Определители!I6:I16,"=4",'Текущие цены с учетом расхода'!O6:O16),2)</f>
        <v>0</v>
      </c>
      <c r="G136" s="28"/>
      <c r="H136" s="28"/>
      <c r="I136" s="28"/>
      <c r="J136" s="32"/>
      <c r="K136" s="32"/>
      <c r="L136" s="28"/>
      <c r="N136" s="33" t="s">
        <v>291</v>
      </c>
    </row>
    <row r="137" spans="1:14" ht="10.5">
      <c r="A137" s="29">
        <v>40</v>
      </c>
      <c r="B137" s="7" t="s">
        <v>90</v>
      </c>
      <c r="C137" s="33" t="s">
        <v>251</v>
      </c>
      <c r="D137" s="36">
        <v>0</v>
      </c>
      <c r="F137" s="28">
        <f>ROUND(СУММПРОИЗВЕСЛИ(1,Определители!I6:I16," ",'Текущие цены с учетом расхода'!M6:M16,Начисления!I6:I16,0),2)</f>
        <v>0</v>
      </c>
      <c r="G137" s="28"/>
      <c r="H137" s="28"/>
      <c r="I137" s="28"/>
      <c r="J137" s="32"/>
      <c r="K137" s="32"/>
      <c r="L137" s="28"/>
      <c r="N137" s="33" t="s">
        <v>292</v>
      </c>
    </row>
    <row r="138" spans="1:14" ht="10.5">
      <c r="A138" s="29">
        <v>41</v>
      </c>
      <c r="B138" s="7" t="s">
        <v>108</v>
      </c>
      <c r="C138" s="33" t="s">
        <v>252</v>
      </c>
      <c r="D138" s="36">
        <v>0</v>
      </c>
      <c r="F138" s="28">
        <f>ROUND((F131+F135+F136),2)</f>
        <v>0</v>
      </c>
      <c r="G138" s="28"/>
      <c r="H138" s="28"/>
      <c r="I138" s="28"/>
      <c r="J138" s="32"/>
      <c r="K138" s="32"/>
      <c r="L138" s="28"/>
      <c r="N138" s="33" t="s">
        <v>293</v>
      </c>
    </row>
    <row r="139" spans="1:14" ht="10.5">
      <c r="A139" s="29">
        <v>42</v>
      </c>
      <c r="B139" s="7" t="s">
        <v>109</v>
      </c>
      <c r="C139" s="33" t="s">
        <v>251</v>
      </c>
      <c r="D139" s="36">
        <v>0</v>
      </c>
      <c r="F139" s="28">
        <f>ROUND(SUMIF(Определители!I6:I16,"=5",'Текущие цены с учетом расхода'!B6:B16),2)</f>
        <v>0</v>
      </c>
      <c r="G139" s="28">
        <f>ROUND(SUMIF(Определители!I6:I16,"=5",'Текущие цены с учетом расхода'!C6:C16),2)</f>
        <v>0</v>
      </c>
      <c r="H139" s="28">
        <f>ROUND(SUMIF(Определители!I6:I16,"=5",'Текущие цены с учетом расхода'!D6:D16),2)</f>
        <v>0</v>
      </c>
      <c r="I139" s="28">
        <f>ROUND(SUMIF(Определители!I6:I16,"=5",'Текущие цены с учетом расхода'!E6:E16),2)</f>
        <v>0</v>
      </c>
      <c r="J139" s="32">
        <f>ROUND(SUMIF(Определители!I6:I16,"=5",'Текущие цены с учетом расхода'!I6:I16),8)</f>
        <v>0</v>
      </c>
      <c r="K139" s="32">
        <f>ROUND(SUMIF(Определители!I6:I16,"=5",'Текущие цены с учетом расхода'!K6:K16),8)</f>
        <v>0</v>
      </c>
      <c r="L139" s="28">
        <f>ROUND(SUMIF(Определители!I6:I16,"=5",'Текущие цены с учетом расхода'!F6:F16),2)</f>
        <v>0</v>
      </c>
      <c r="N139" s="33" t="s">
        <v>294</v>
      </c>
    </row>
    <row r="140" spans="1:14" ht="10.5">
      <c r="A140" s="29">
        <v>43</v>
      </c>
      <c r="B140" s="7" t="s">
        <v>97</v>
      </c>
      <c r="C140" s="33" t="s">
        <v>251</v>
      </c>
      <c r="D140" s="36">
        <v>0</v>
      </c>
      <c r="F140" s="28">
        <f>ROUND(SUMIF(Определители!I6:I16,"=5",'Текущие цены с учетом расхода'!H6:H16),2)</f>
        <v>0</v>
      </c>
      <c r="G140" s="28"/>
      <c r="H140" s="28"/>
      <c r="I140" s="28"/>
      <c r="J140" s="32"/>
      <c r="K140" s="32"/>
      <c r="L140" s="28"/>
      <c r="N140" s="33" t="s">
        <v>295</v>
      </c>
    </row>
    <row r="141" spans="1:14" ht="10.5">
      <c r="A141" s="29">
        <v>44</v>
      </c>
      <c r="B141" s="7" t="s">
        <v>98</v>
      </c>
      <c r="C141" s="33" t="s">
        <v>251</v>
      </c>
      <c r="D141" s="36">
        <v>0</v>
      </c>
      <c r="F141" s="28">
        <f>ROUND(SUMIF(Определители!I6:I16,"=5",'Текущие цены с учетом расхода'!N6:N16),2)</f>
        <v>0</v>
      </c>
      <c r="G141" s="28"/>
      <c r="H141" s="28"/>
      <c r="I141" s="28"/>
      <c r="J141" s="32"/>
      <c r="K141" s="32"/>
      <c r="L141" s="28"/>
      <c r="N141" s="33" t="s">
        <v>296</v>
      </c>
    </row>
    <row r="142" spans="1:14" ht="10.5">
      <c r="A142" s="29">
        <v>45</v>
      </c>
      <c r="B142" s="7" t="s">
        <v>99</v>
      </c>
      <c r="C142" s="33" t="s">
        <v>251</v>
      </c>
      <c r="D142" s="36">
        <v>0</v>
      </c>
      <c r="F142" s="28">
        <f>ROUND(SUMIF(Определители!I6:I16,"=5",'Текущие цены с учетом расхода'!O6:O16),2)</f>
        <v>0</v>
      </c>
      <c r="G142" s="28"/>
      <c r="H142" s="28"/>
      <c r="I142" s="28"/>
      <c r="J142" s="32"/>
      <c r="K142" s="32"/>
      <c r="L142" s="28"/>
      <c r="N142" s="33" t="s">
        <v>297</v>
      </c>
    </row>
    <row r="143" spans="1:14" ht="10.5">
      <c r="A143" s="29">
        <v>46</v>
      </c>
      <c r="B143" s="7" t="s">
        <v>110</v>
      </c>
      <c r="C143" s="33" t="s">
        <v>252</v>
      </c>
      <c r="D143" s="36">
        <v>0</v>
      </c>
      <c r="F143" s="28">
        <f>ROUND((F139+F141+F142),2)</f>
        <v>0</v>
      </c>
      <c r="G143" s="28"/>
      <c r="H143" s="28"/>
      <c r="I143" s="28"/>
      <c r="J143" s="32"/>
      <c r="K143" s="32"/>
      <c r="L143" s="28"/>
      <c r="N143" s="33" t="s">
        <v>298</v>
      </c>
    </row>
    <row r="144" spans="1:14" ht="10.5">
      <c r="A144" s="29">
        <v>47</v>
      </c>
      <c r="B144" s="7" t="s">
        <v>111</v>
      </c>
      <c r="C144" s="33" t="s">
        <v>251</v>
      </c>
      <c r="D144" s="36">
        <v>0</v>
      </c>
      <c r="F144" s="28">
        <f>ROUND(SUMIF(Определители!I6:I16,"=6",'Текущие цены с учетом расхода'!B6:B16),2)</f>
        <v>0</v>
      </c>
      <c r="G144" s="28">
        <f>ROUND(SUMIF(Определители!I6:I16,"=6",'Текущие цены с учетом расхода'!C6:C16),2)</f>
        <v>0</v>
      </c>
      <c r="H144" s="28">
        <f>ROUND(SUMIF(Определители!I6:I16,"=6",'Текущие цены с учетом расхода'!D6:D16),2)</f>
        <v>0</v>
      </c>
      <c r="I144" s="28">
        <f>ROUND(SUMIF(Определители!I6:I16,"=6",'Текущие цены с учетом расхода'!E6:E16),2)</f>
        <v>0</v>
      </c>
      <c r="J144" s="32">
        <f>ROUND(SUMIF(Определители!I6:I16,"=6",'Текущие цены с учетом расхода'!I6:I16),8)</f>
        <v>0</v>
      </c>
      <c r="K144" s="32">
        <f>ROUND(SUMIF(Определители!I6:I16,"=6",'Текущие цены с учетом расхода'!K6:K16),8)</f>
        <v>0</v>
      </c>
      <c r="L144" s="28">
        <f>ROUND(SUMIF(Определители!I6:I16,"=6",'Текущие цены с учетом расхода'!F6:F16),2)</f>
        <v>0</v>
      </c>
      <c r="N144" s="33" t="s">
        <v>299</v>
      </c>
    </row>
    <row r="145" spans="1:14" ht="10.5">
      <c r="A145" s="29">
        <v>48</v>
      </c>
      <c r="B145" s="7" t="s">
        <v>97</v>
      </c>
      <c r="C145" s="33" t="s">
        <v>251</v>
      </c>
      <c r="D145" s="36">
        <v>0</v>
      </c>
      <c r="F145" s="28">
        <f>ROUND(SUMIF(Определители!I6:I16,"=6",'Текущие цены с учетом расхода'!H6:H16),2)</f>
        <v>0</v>
      </c>
      <c r="G145" s="28"/>
      <c r="H145" s="28"/>
      <c r="I145" s="28"/>
      <c r="J145" s="32"/>
      <c r="K145" s="32"/>
      <c r="L145" s="28"/>
      <c r="N145" s="33" t="s">
        <v>300</v>
      </c>
    </row>
    <row r="146" spans="1:14" ht="10.5">
      <c r="A146" s="29">
        <v>49</v>
      </c>
      <c r="B146" s="7" t="s">
        <v>98</v>
      </c>
      <c r="C146" s="33" t="s">
        <v>251</v>
      </c>
      <c r="D146" s="36">
        <v>0</v>
      </c>
      <c r="F146" s="28">
        <f>ROUND(SUMIF(Определители!I6:I16,"=6",'Текущие цены с учетом расхода'!N6:N16),2)</f>
        <v>0</v>
      </c>
      <c r="G146" s="28"/>
      <c r="H146" s="28"/>
      <c r="I146" s="28"/>
      <c r="J146" s="32"/>
      <c r="K146" s="32"/>
      <c r="L146" s="28"/>
      <c r="N146" s="33" t="s">
        <v>301</v>
      </c>
    </row>
    <row r="147" spans="1:14" ht="10.5">
      <c r="A147" s="29">
        <v>50</v>
      </c>
      <c r="B147" s="7" t="s">
        <v>99</v>
      </c>
      <c r="C147" s="33" t="s">
        <v>251</v>
      </c>
      <c r="D147" s="36">
        <v>0</v>
      </c>
      <c r="F147" s="28">
        <f>ROUND(SUMIF(Определители!I6:I16,"=6",'Текущие цены с учетом расхода'!O6:O16),2)</f>
        <v>0</v>
      </c>
      <c r="G147" s="28"/>
      <c r="H147" s="28"/>
      <c r="I147" s="28"/>
      <c r="J147" s="32"/>
      <c r="K147" s="32"/>
      <c r="L147" s="28"/>
      <c r="N147" s="33" t="s">
        <v>302</v>
      </c>
    </row>
    <row r="148" spans="1:14" ht="10.5">
      <c r="A148" s="29">
        <v>51</v>
      </c>
      <c r="B148" s="7" t="s">
        <v>112</v>
      </c>
      <c r="C148" s="33" t="s">
        <v>252</v>
      </c>
      <c r="D148" s="36">
        <v>0</v>
      </c>
      <c r="F148" s="28">
        <f>ROUND((F144+F146+F147),2)</f>
        <v>0</v>
      </c>
      <c r="G148" s="28"/>
      <c r="H148" s="28"/>
      <c r="I148" s="28"/>
      <c r="J148" s="32"/>
      <c r="K148" s="32"/>
      <c r="L148" s="28"/>
      <c r="N148" s="33" t="s">
        <v>303</v>
      </c>
    </row>
    <row r="149" spans="1:14" ht="10.5">
      <c r="A149" s="29">
        <v>52</v>
      </c>
      <c r="B149" s="7" t="s">
        <v>113</v>
      </c>
      <c r="C149" s="33" t="s">
        <v>251</v>
      </c>
      <c r="D149" s="36">
        <v>0</v>
      </c>
      <c r="F149" s="28">
        <f>ROUND(SUMIF(Определители!I6:I16,"=7",'Текущие цены с учетом расхода'!B6:B16),2)</f>
        <v>0</v>
      </c>
      <c r="G149" s="28">
        <f>ROUND(SUMIF(Определители!I6:I16,"=7",'Текущие цены с учетом расхода'!C6:C16),2)</f>
        <v>0</v>
      </c>
      <c r="H149" s="28">
        <f>ROUND(SUMIF(Определители!I6:I16,"=7",'Текущие цены с учетом расхода'!D6:D16),2)</f>
        <v>0</v>
      </c>
      <c r="I149" s="28">
        <f>ROUND(SUMIF(Определители!I6:I16,"=7",'Текущие цены с учетом расхода'!E6:E16),2)</f>
        <v>0</v>
      </c>
      <c r="J149" s="32">
        <f>ROUND(SUMIF(Определители!I6:I16,"=7",'Текущие цены с учетом расхода'!I6:I16),8)</f>
        <v>0</v>
      </c>
      <c r="K149" s="32">
        <f>ROUND(SUMIF(Определители!I6:I16,"=7",'Текущие цены с учетом расхода'!K6:K16),8)</f>
        <v>0</v>
      </c>
      <c r="L149" s="28">
        <f>ROUND(SUMIF(Определители!I6:I16,"=7",'Текущие цены с учетом расхода'!F6:F16),2)</f>
        <v>0</v>
      </c>
      <c r="N149" s="33" t="s">
        <v>304</v>
      </c>
    </row>
    <row r="150" spans="1:14" ht="10.5">
      <c r="A150" s="29">
        <v>53</v>
      </c>
      <c r="B150" s="7" t="s">
        <v>93</v>
      </c>
      <c r="C150" s="33" t="s">
        <v>251</v>
      </c>
      <c r="D150" s="36">
        <v>0</v>
      </c>
      <c r="F150" s="28"/>
      <c r="G150" s="28"/>
      <c r="H150" s="28"/>
      <c r="I150" s="28"/>
      <c r="J150" s="32"/>
      <c r="K150" s="32"/>
      <c r="L150" s="28"/>
      <c r="N150" s="33" t="s">
        <v>305</v>
      </c>
    </row>
    <row r="151" spans="1:14" ht="10.5">
      <c r="A151" s="29">
        <v>54</v>
      </c>
      <c r="B151" s="7" t="s">
        <v>102</v>
      </c>
      <c r="C151" s="33" t="s">
        <v>251</v>
      </c>
      <c r="D151" s="36">
        <v>0</v>
      </c>
      <c r="F151" s="28">
        <f>ROUND(СУММЕСЛИ2(Определители!I6:I16,"2",Определители!G6:G16,"1",'Текущие цены с учетом расхода'!B6:B16),2)</f>
        <v>0</v>
      </c>
      <c r="G151" s="28"/>
      <c r="H151" s="28"/>
      <c r="I151" s="28"/>
      <c r="J151" s="32"/>
      <c r="K151" s="32"/>
      <c r="L151" s="28"/>
      <c r="N151" s="33" t="s">
        <v>306</v>
      </c>
    </row>
    <row r="152" spans="1:14" ht="10.5">
      <c r="A152" s="29">
        <v>55</v>
      </c>
      <c r="B152" s="7" t="s">
        <v>97</v>
      </c>
      <c r="C152" s="33" t="s">
        <v>251</v>
      </c>
      <c r="D152" s="36">
        <v>0</v>
      </c>
      <c r="F152" s="28">
        <f>ROUND(SUMIF(Определители!I6:I16,"=7",'Текущие цены с учетом расхода'!H6:H16),2)</f>
        <v>0</v>
      </c>
      <c r="G152" s="28"/>
      <c r="H152" s="28"/>
      <c r="I152" s="28"/>
      <c r="J152" s="32"/>
      <c r="K152" s="32"/>
      <c r="L152" s="28"/>
      <c r="N152" s="33" t="s">
        <v>307</v>
      </c>
    </row>
    <row r="153" spans="1:14" ht="10.5">
      <c r="A153" s="29">
        <v>56</v>
      </c>
      <c r="B153" s="7" t="s">
        <v>98</v>
      </c>
      <c r="C153" s="33" t="s">
        <v>251</v>
      </c>
      <c r="D153" s="36">
        <v>0</v>
      </c>
      <c r="F153" s="28">
        <f>ROUND(SUMIF(Определители!I6:I16,"=7",'Текущие цены с учетом расхода'!N6:N16),2)</f>
        <v>0</v>
      </c>
      <c r="G153" s="28"/>
      <c r="H153" s="28"/>
      <c r="I153" s="28"/>
      <c r="J153" s="32"/>
      <c r="K153" s="32"/>
      <c r="L153" s="28"/>
      <c r="N153" s="33" t="s">
        <v>308</v>
      </c>
    </row>
    <row r="154" spans="1:14" ht="10.5">
      <c r="A154" s="29">
        <v>57</v>
      </c>
      <c r="B154" s="7" t="s">
        <v>99</v>
      </c>
      <c r="C154" s="33" t="s">
        <v>251</v>
      </c>
      <c r="D154" s="36">
        <v>0</v>
      </c>
      <c r="F154" s="28">
        <f>ROUND(SUMIF(Определители!I6:I16,"=7",'Текущие цены с учетом расхода'!O6:O16),2)</f>
        <v>0</v>
      </c>
      <c r="G154" s="28"/>
      <c r="H154" s="28"/>
      <c r="I154" s="28"/>
      <c r="J154" s="32"/>
      <c r="K154" s="32"/>
      <c r="L154" s="28"/>
      <c r="N154" s="33" t="s">
        <v>309</v>
      </c>
    </row>
    <row r="155" spans="1:14" ht="10.5">
      <c r="A155" s="29">
        <v>58</v>
      </c>
      <c r="B155" s="7" t="s">
        <v>114</v>
      </c>
      <c r="C155" s="33" t="s">
        <v>252</v>
      </c>
      <c r="D155" s="36">
        <v>0</v>
      </c>
      <c r="F155" s="28">
        <f>ROUND((F149+F153+F154),2)</f>
        <v>0</v>
      </c>
      <c r="G155" s="28"/>
      <c r="H155" s="28"/>
      <c r="I155" s="28"/>
      <c r="J155" s="32"/>
      <c r="K155" s="32"/>
      <c r="L155" s="28"/>
      <c r="N155" s="33" t="s">
        <v>310</v>
      </c>
    </row>
    <row r="156" spans="1:14" ht="10.5">
      <c r="A156" s="29">
        <v>59</v>
      </c>
      <c r="B156" s="7" t="s">
        <v>115</v>
      </c>
      <c r="C156" s="33" t="s">
        <v>251</v>
      </c>
      <c r="D156" s="36">
        <v>0</v>
      </c>
      <c r="F156" s="28">
        <f>ROUND(SUMIF(Определители!I6:I16,"=;",'Текущие цены с учетом расхода'!B6:B16),2)</f>
        <v>0</v>
      </c>
      <c r="G156" s="28">
        <f>ROUND(SUMIF(Определители!I6:I16,"=;",'Текущие цены с учетом расхода'!C6:C16),2)</f>
        <v>0</v>
      </c>
      <c r="H156" s="28">
        <f>ROUND(SUMIF(Определители!I6:I16,"=;",'Текущие цены с учетом расхода'!D6:D16),2)</f>
        <v>0</v>
      </c>
      <c r="I156" s="28">
        <f>ROUND(SUMIF(Определители!I6:I16,"=;",'Текущие цены с учетом расхода'!E6:E16),2)</f>
        <v>0</v>
      </c>
      <c r="J156" s="32">
        <f>ROUND(SUMIF(Определители!I6:I16,"=;",'Текущие цены с учетом расхода'!I6:I16),8)</f>
        <v>0</v>
      </c>
      <c r="K156" s="32">
        <f>ROUND(SUMIF(Определители!I6:I16,"=;",'Текущие цены с учетом расхода'!K6:K16),8)</f>
        <v>0</v>
      </c>
      <c r="L156" s="28">
        <f>ROUND(SUMIF(Определители!I6:I16,"=;",'Текущие цены с учетом расхода'!F6:F16),2)</f>
        <v>0</v>
      </c>
      <c r="N156" s="33" t="s">
        <v>311</v>
      </c>
    </row>
    <row r="157" spans="1:14" ht="10.5">
      <c r="A157" s="29">
        <v>60</v>
      </c>
      <c r="B157" s="7" t="s">
        <v>116</v>
      </c>
      <c r="C157" s="33" t="s">
        <v>251</v>
      </c>
      <c r="D157" s="36">
        <v>0</v>
      </c>
      <c r="F157" s="28">
        <f>ROUND(SUMIF(Определители!I6:I16,"=;",'Текущие цены с учетом расхода'!AF6:AF16),2)</f>
        <v>0</v>
      </c>
      <c r="G157" s="28"/>
      <c r="H157" s="28"/>
      <c r="I157" s="28"/>
      <c r="J157" s="32"/>
      <c r="K157" s="32"/>
      <c r="L157" s="28"/>
      <c r="N157" s="33" t="s">
        <v>312</v>
      </c>
    </row>
    <row r="158" spans="1:14" ht="10.5">
      <c r="A158" s="29">
        <v>61</v>
      </c>
      <c r="B158" s="7" t="s">
        <v>117</v>
      </c>
      <c r="C158" s="33" t="s">
        <v>251</v>
      </c>
      <c r="D158" s="36">
        <v>0</v>
      </c>
      <c r="F158" s="28">
        <f>ROUND(SUMIF(Определители!I6:I16,"=;",'Текущие цены с учетом расхода'!AG6:AG16),2)</f>
        <v>0</v>
      </c>
      <c r="G158" s="28"/>
      <c r="H158" s="28"/>
      <c r="I158" s="28"/>
      <c r="J158" s="32"/>
      <c r="K158" s="32"/>
      <c r="L158" s="28"/>
      <c r="N158" s="33" t="s">
        <v>313</v>
      </c>
    </row>
    <row r="159" spans="1:14" ht="10.5">
      <c r="A159" s="29">
        <v>62</v>
      </c>
      <c r="B159" s="7" t="s">
        <v>98</v>
      </c>
      <c r="C159" s="33" t="s">
        <v>251</v>
      </c>
      <c r="D159" s="36">
        <v>0</v>
      </c>
      <c r="F159" s="28">
        <f>ROUND(SUMIF(Определители!I6:I16,"=;",'Текущие цены с учетом расхода'!N6:N16),2)</f>
        <v>0</v>
      </c>
      <c r="G159" s="28"/>
      <c r="H159" s="28"/>
      <c r="I159" s="28"/>
      <c r="J159" s="32"/>
      <c r="K159" s="32"/>
      <c r="L159" s="28"/>
      <c r="N159" s="33" t="s">
        <v>314</v>
      </c>
    </row>
    <row r="160" spans="1:14" ht="10.5">
      <c r="A160" s="29">
        <v>63</v>
      </c>
      <c r="B160" s="7" t="s">
        <v>99</v>
      </c>
      <c r="C160" s="33" t="s">
        <v>251</v>
      </c>
      <c r="D160" s="36">
        <v>0</v>
      </c>
      <c r="F160" s="28">
        <f>ROUND(SUMIF(Определители!I6:I16,"=;",'Текущие цены с учетом расхода'!O6:O16),2)</f>
        <v>0</v>
      </c>
      <c r="G160" s="28"/>
      <c r="H160" s="28"/>
      <c r="I160" s="28"/>
      <c r="J160" s="32"/>
      <c r="K160" s="32"/>
      <c r="L160" s="28"/>
      <c r="N160" s="33" t="s">
        <v>315</v>
      </c>
    </row>
    <row r="161" spans="1:14" ht="10.5">
      <c r="A161" s="29">
        <v>64</v>
      </c>
      <c r="B161" s="7" t="s">
        <v>118</v>
      </c>
      <c r="C161" s="33" t="s">
        <v>252</v>
      </c>
      <c r="D161" s="36">
        <v>0</v>
      </c>
      <c r="F161" s="28">
        <f>ROUND((F156+F159+F160),2)</f>
        <v>0</v>
      </c>
      <c r="G161" s="28"/>
      <c r="H161" s="28"/>
      <c r="I161" s="28"/>
      <c r="J161" s="32"/>
      <c r="K161" s="32"/>
      <c r="L161" s="28"/>
      <c r="N161" s="33" t="s">
        <v>316</v>
      </c>
    </row>
    <row r="162" spans="1:14" ht="10.5">
      <c r="A162" s="29">
        <v>65</v>
      </c>
      <c r="B162" s="7" t="s">
        <v>119</v>
      </c>
      <c r="C162" s="33" t="s">
        <v>251</v>
      </c>
      <c r="D162" s="36">
        <v>0</v>
      </c>
      <c r="F162" s="28">
        <f>ROUND(SUMIF(Определители!I6:I16,"=9",'Текущие цены с учетом расхода'!B6:B16),2)</f>
        <v>0</v>
      </c>
      <c r="G162" s="28">
        <f>ROUND(SUMIF(Определители!I6:I16,"=9",'Текущие цены с учетом расхода'!C6:C16),2)</f>
        <v>0</v>
      </c>
      <c r="H162" s="28">
        <f>ROUND(SUMIF(Определители!I6:I16,"=9",'Текущие цены с учетом расхода'!D6:D16),2)</f>
        <v>0</v>
      </c>
      <c r="I162" s="28">
        <f>ROUND(SUMIF(Определители!I6:I16,"=9",'Текущие цены с учетом расхода'!E6:E16),2)</f>
        <v>0</v>
      </c>
      <c r="J162" s="32">
        <f>ROUND(SUMIF(Определители!I6:I16,"=9",'Текущие цены с учетом расхода'!I6:I16),8)</f>
        <v>0</v>
      </c>
      <c r="K162" s="32">
        <f>ROUND(SUMIF(Определители!I6:I16,"=9",'Текущие цены с учетом расхода'!K6:K16),8)</f>
        <v>0</v>
      </c>
      <c r="L162" s="28">
        <f>ROUND(SUMIF(Определители!I6:I16,"=9",'Текущие цены с учетом расхода'!F6:F16),2)</f>
        <v>0</v>
      </c>
      <c r="N162" s="33" t="s">
        <v>317</v>
      </c>
    </row>
    <row r="163" spans="1:14" ht="10.5">
      <c r="A163" s="29">
        <v>66</v>
      </c>
      <c r="B163" s="7" t="s">
        <v>98</v>
      </c>
      <c r="C163" s="33" t="s">
        <v>251</v>
      </c>
      <c r="D163" s="36">
        <v>0</v>
      </c>
      <c r="F163" s="28">
        <f>ROUND(SUMIF(Определители!I6:I16,"=9",'Текущие цены с учетом расхода'!N6:N16),2)</f>
        <v>0</v>
      </c>
      <c r="G163" s="28"/>
      <c r="H163" s="28"/>
      <c r="I163" s="28"/>
      <c r="J163" s="32"/>
      <c r="K163" s="32"/>
      <c r="L163" s="28"/>
      <c r="N163" s="33" t="s">
        <v>318</v>
      </c>
    </row>
    <row r="164" spans="1:14" ht="10.5">
      <c r="A164" s="29">
        <v>67</v>
      </c>
      <c r="B164" s="7" t="s">
        <v>99</v>
      </c>
      <c r="C164" s="33" t="s">
        <v>251</v>
      </c>
      <c r="D164" s="36">
        <v>0</v>
      </c>
      <c r="F164" s="28">
        <f>ROUND(SUMIF(Определители!I6:I16,"=9",'Текущие цены с учетом расхода'!O6:O16),2)</f>
        <v>0</v>
      </c>
      <c r="G164" s="28"/>
      <c r="H164" s="28"/>
      <c r="I164" s="28"/>
      <c r="J164" s="32"/>
      <c r="K164" s="32"/>
      <c r="L164" s="28"/>
      <c r="N164" s="33" t="s">
        <v>319</v>
      </c>
    </row>
    <row r="165" spans="1:14" ht="10.5">
      <c r="A165" s="29">
        <v>68</v>
      </c>
      <c r="B165" s="7" t="s">
        <v>120</v>
      </c>
      <c r="C165" s="33" t="s">
        <v>252</v>
      </c>
      <c r="D165" s="36">
        <v>0</v>
      </c>
      <c r="F165" s="28">
        <f>ROUND((F162+F163+F164),2)</f>
        <v>0</v>
      </c>
      <c r="G165" s="28"/>
      <c r="H165" s="28"/>
      <c r="I165" s="28"/>
      <c r="J165" s="32"/>
      <c r="K165" s="32"/>
      <c r="L165" s="28"/>
      <c r="N165" s="33" t="s">
        <v>320</v>
      </c>
    </row>
    <row r="166" spans="1:14" ht="10.5">
      <c r="A166" s="29">
        <v>69</v>
      </c>
      <c r="B166" s="7" t="s">
        <v>121</v>
      </c>
      <c r="C166" s="33" t="s">
        <v>251</v>
      </c>
      <c r="D166" s="36">
        <v>0</v>
      </c>
      <c r="F166" s="28">
        <f>ROUND(SUMIF(Определители!I6:I16,"=:",'Текущие цены с учетом расхода'!B6:B16),2)</f>
        <v>0</v>
      </c>
      <c r="G166" s="28">
        <f>ROUND(SUMIF(Определители!I6:I16,"=:",'Текущие цены с учетом расхода'!C6:C16),2)</f>
        <v>0</v>
      </c>
      <c r="H166" s="28">
        <f>ROUND(SUMIF(Определители!I6:I16,"=:",'Текущие цены с учетом расхода'!D6:D16),2)</f>
        <v>0</v>
      </c>
      <c r="I166" s="28">
        <f>ROUND(SUMIF(Определители!I6:I16,"=:",'Текущие цены с учетом расхода'!E6:E16),2)</f>
        <v>0</v>
      </c>
      <c r="J166" s="32">
        <f>ROUND(SUMIF(Определители!I6:I16,"=:",'Текущие цены с учетом расхода'!I6:I16),8)</f>
        <v>0</v>
      </c>
      <c r="K166" s="32">
        <f>ROUND(SUMIF(Определители!I6:I16,"=:",'Текущие цены с учетом расхода'!K6:K16),8)</f>
        <v>0</v>
      </c>
      <c r="L166" s="28">
        <f>ROUND(SUMIF(Определители!I6:I16,"=:",'Текущие цены с учетом расхода'!F6:F16),2)</f>
        <v>0</v>
      </c>
      <c r="N166" s="33" t="s">
        <v>321</v>
      </c>
    </row>
    <row r="167" spans="1:14" ht="10.5">
      <c r="A167" s="29">
        <v>70</v>
      </c>
      <c r="B167" s="7" t="s">
        <v>97</v>
      </c>
      <c r="C167" s="33" t="s">
        <v>251</v>
      </c>
      <c r="D167" s="36">
        <v>0</v>
      </c>
      <c r="F167" s="28">
        <f>ROUND(SUMIF(Определители!I6:I16,"=:",'Текущие цены с учетом расхода'!H6:H16),2)</f>
        <v>0</v>
      </c>
      <c r="G167" s="28"/>
      <c r="H167" s="28"/>
      <c r="I167" s="28"/>
      <c r="J167" s="32"/>
      <c r="K167" s="32"/>
      <c r="L167" s="28"/>
      <c r="N167" s="33" t="s">
        <v>322</v>
      </c>
    </row>
    <row r="168" spans="1:14" ht="10.5">
      <c r="A168" s="29">
        <v>71</v>
      </c>
      <c r="B168" s="7" t="s">
        <v>98</v>
      </c>
      <c r="C168" s="33" t="s">
        <v>251</v>
      </c>
      <c r="D168" s="36">
        <v>0</v>
      </c>
      <c r="F168" s="28">
        <f>ROUND(SUMIF(Определители!I6:I16,"=:",'Текущие цены с учетом расхода'!N6:N16),2)</f>
        <v>0</v>
      </c>
      <c r="G168" s="28"/>
      <c r="H168" s="28"/>
      <c r="I168" s="28"/>
      <c r="J168" s="32"/>
      <c r="K168" s="32"/>
      <c r="L168" s="28"/>
      <c r="N168" s="33" t="s">
        <v>323</v>
      </c>
    </row>
    <row r="169" spans="1:14" ht="10.5">
      <c r="A169" s="29">
        <v>72</v>
      </c>
      <c r="B169" s="7" t="s">
        <v>99</v>
      </c>
      <c r="C169" s="33" t="s">
        <v>251</v>
      </c>
      <c r="D169" s="36">
        <v>0</v>
      </c>
      <c r="F169" s="28">
        <f>ROUND(SUMIF(Определители!I6:I16,"=:",'Текущие цены с учетом расхода'!O6:O16),2)</f>
        <v>0</v>
      </c>
      <c r="G169" s="28"/>
      <c r="H169" s="28"/>
      <c r="I169" s="28"/>
      <c r="J169" s="32"/>
      <c r="K169" s="32"/>
      <c r="L169" s="28"/>
      <c r="N169" s="33" t="s">
        <v>324</v>
      </c>
    </row>
    <row r="170" spans="1:14" ht="10.5">
      <c r="A170" s="29">
        <v>73</v>
      </c>
      <c r="B170" s="7" t="s">
        <v>122</v>
      </c>
      <c r="C170" s="33" t="s">
        <v>252</v>
      </c>
      <c r="D170" s="36">
        <v>0</v>
      </c>
      <c r="F170" s="28">
        <f>ROUND((F166+F168+F169),2)</f>
        <v>0</v>
      </c>
      <c r="G170" s="28"/>
      <c r="H170" s="28"/>
      <c r="I170" s="28"/>
      <c r="J170" s="32"/>
      <c r="K170" s="32"/>
      <c r="L170" s="28"/>
      <c r="N170" s="33" t="s">
        <v>325</v>
      </c>
    </row>
    <row r="171" spans="1:14" ht="10.5">
      <c r="A171" s="29">
        <v>74</v>
      </c>
      <c r="B171" s="7" t="s">
        <v>123</v>
      </c>
      <c r="C171" s="33" t="s">
        <v>251</v>
      </c>
      <c r="D171" s="36">
        <v>0</v>
      </c>
      <c r="F171" s="28">
        <f>ROUND(SUMIF(Определители!I6:I16,"=8",'Текущие цены с учетом расхода'!B6:B16),2)</f>
        <v>0</v>
      </c>
      <c r="G171" s="28">
        <f>ROUND(SUMIF(Определители!I6:I16,"=8",'Текущие цены с учетом расхода'!C6:C16),2)</f>
        <v>0</v>
      </c>
      <c r="H171" s="28">
        <f>ROUND(SUMIF(Определители!I6:I16,"=8",'Текущие цены с учетом расхода'!D6:D16),2)</f>
        <v>0</v>
      </c>
      <c r="I171" s="28">
        <f>ROUND(SUMIF(Определители!I6:I16,"=8",'Текущие цены с учетом расхода'!E6:E16),2)</f>
        <v>0</v>
      </c>
      <c r="J171" s="32">
        <f>ROUND(SUMIF(Определители!I6:I16,"=8",'Текущие цены с учетом расхода'!I6:I16),8)</f>
        <v>0</v>
      </c>
      <c r="K171" s="32">
        <f>ROUND(SUMIF(Определители!I6:I16,"=8",'Текущие цены с учетом расхода'!K6:K16),8)</f>
        <v>0</v>
      </c>
      <c r="L171" s="28">
        <f>ROUND(SUMIF(Определители!I6:I16,"=8",'Текущие цены с учетом расхода'!F6:F16),2)</f>
        <v>0</v>
      </c>
      <c r="N171" s="33" t="s">
        <v>326</v>
      </c>
    </row>
    <row r="172" spans="1:14" ht="10.5">
      <c r="A172" s="29">
        <v>75</v>
      </c>
      <c r="B172" s="7" t="s">
        <v>97</v>
      </c>
      <c r="C172" s="33" t="s">
        <v>251</v>
      </c>
      <c r="D172" s="36">
        <v>0</v>
      </c>
      <c r="F172" s="28">
        <f>ROUND(SUMIF(Определители!I6:I16,"=8",'Текущие цены с учетом расхода'!H6:H16),2)</f>
        <v>0</v>
      </c>
      <c r="G172" s="28"/>
      <c r="H172" s="28"/>
      <c r="I172" s="28"/>
      <c r="J172" s="32"/>
      <c r="K172" s="32"/>
      <c r="L172" s="28"/>
      <c r="N172" s="33" t="s">
        <v>327</v>
      </c>
    </row>
    <row r="173" spans="1:14" ht="10.5">
      <c r="A173" s="29">
        <v>76</v>
      </c>
      <c r="B173" s="7" t="s">
        <v>135</v>
      </c>
      <c r="C173" s="33" t="s">
        <v>252</v>
      </c>
      <c r="D173" s="36">
        <v>0</v>
      </c>
      <c r="F173" s="28">
        <f>ROUND((F108+F118+F125+F130+F138+F143+F148+F155+F165+F170+F171+F161),2)</f>
        <v>105807.55</v>
      </c>
      <c r="G173" s="28">
        <f>ROUND((G108+G118+G125+G130+G138+G143+G148+G155+G165+G170+G171+G161),2)</f>
        <v>0</v>
      </c>
      <c r="H173" s="28">
        <f>ROUND((H108+H118+H125+H130+H138+H143+H148+H155+H165+H170+H171+H161),2)</f>
        <v>0</v>
      </c>
      <c r="I173" s="28">
        <f>ROUND((I108+I118+I125+I130+I138+I143+I148+I155+I165+I170+I171+I161),2)</f>
        <v>0</v>
      </c>
      <c r="J173" s="32">
        <f>ROUND((J108+J118+J125+J130+J138+J143+J148+J155+J165+J170+J171+J161),8)</f>
        <v>0</v>
      </c>
      <c r="K173" s="32">
        <f>ROUND((K108+K118+K125+K130+K138+K143+K148+K155+K165+K170+K171+K161),8)</f>
        <v>0</v>
      </c>
      <c r="L173" s="28">
        <f>ROUND((L108+L118+L125+L130+L138+L143+L148+L155+L165+L170+L171+L161),2)</f>
        <v>0</v>
      </c>
      <c r="N173" s="33" t="s">
        <v>328</v>
      </c>
    </row>
    <row r="174" spans="1:14" ht="10.5">
      <c r="A174" s="29">
        <v>77</v>
      </c>
      <c r="B174" s="7" t="s">
        <v>124</v>
      </c>
      <c r="C174" s="33" t="s">
        <v>252</v>
      </c>
      <c r="D174" s="36">
        <v>0</v>
      </c>
      <c r="F174" s="28">
        <f>ROUND((F114+F122+F127+F134+F140+F145+F152+F167+F172),2)</f>
        <v>0</v>
      </c>
      <c r="G174" s="28"/>
      <c r="H174" s="28"/>
      <c r="I174" s="28"/>
      <c r="J174" s="32"/>
      <c r="K174" s="32"/>
      <c r="L174" s="28"/>
      <c r="N174" s="33" t="s">
        <v>329</v>
      </c>
    </row>
    <row r="175" spans="1:14" ht="10.5">
      <c r="A175" s="29">
        <v>78</v>
      </c>
      <c r="B175" s="7" t="s">
        <v>125</v>
      </c>
      <c r="C175" s="33" t="s">
        <v>252</v>
      </c>
      <c r="D175" s="36">
        <v>0</v>
      </c>
      <c r="F175" s="28">
        <f>ROUND((F115+F123+F128+F135+F141+F146+F153+F163+F168+F159),2)</f>
        <v>5578.46</v>
      </c>
      <c r="G175" s="28"/>
      <c r="H175" s="28"/>
      <c r="I175" s="28"/>
      <c r="J175" s="32"/>
      <c r="K175" s="32"/>
      <c r="L175" s="28"/>
      <c r="N175" s="33" t="s">
        <v>330</v>
      </c>
    </row>
    <row r="176" spans="1:14" ht="10.5">
      <c r="A176" s="29">
        <v>79</v>
      </c>
      <c r="B176" s="7" t="s">
        <v>126</v>
      </c>
      <c r="C176" s="33" t="s">
        <v>252</v>
      </c>
      <c r="D176" s="36">
        <v>0</v>
      </c>
      <c r="F176" s="28">
        <f>ROUND((F116+F124+F129+F136+F142+F147+F154+F164+F169+F160),2)</f>
        <v>2641.94</v>
      </c>
      <c r="G176" s="28"/>
      <c r="H176" s="28"/>
      <c r="I176" s="28"/>
      <c r="J176" s="32"/>
      <c r="K176" s="32"/>
      <c r="L176" s="28"/>
      <c r="N176" s="33" t="s">
        <v>331</v>
      </c>
    </row>
    <row r="177" spans="1:14" ht="10.5">
      <c r="A177" s="29">
        <v>80</v>
      </c>
      <c r="B177" s="7" t="s">
        <v>41</v>
      </c>
      <c r="C177" s="33" t="s">
        <v>253</v>
      </c>
      <c r="D177" s="36">
        <v>0</v>
      </c>
      <c r="F177" s="28">
        <f>ROUND(SUM('Текущие цены с учетом расхода'!X6:X16),2)</f>
        <v>0</v>
      </c>
      <c r="G177" s="28"/>
      <c r="H177" s="28"/>
      <c r="I177" s="28"/>
      <c r="J177" s="32"/>
      <c r="K177" s="32"/>
      <c r="L177" s="28">
        <f>ROUND(SUM('Текущие цены с учетом расхода'!X6:X16),2)</f>
        <v>0</v>
      </c>
      <c r="N177" s="33" t="s">
        <v>332</v>
      </c>
    </row>
    <row r="178" spans="1:14" ht="10.5">
      <c r="A178" s="29">
        <v>81</v>
      </c>
      <c r="B178" s="7" t="s">
        <v>127</v>
      </c>
      <c r="C178" s="33" t="s">
        <v>253</v>
      </c>
      <c r="D178" s="36">
        <v>0</v>
      </c>
      <c r="F178" s="28">
        <f>ROUND(SUM(G178:N178),2)</f>
        <v>0</v>
      </c>
      <c r="G178" s="28"/>
      <c r="H178" s="28"/>
      <c r="I178" s="28"/>
      <c r="J178" s="32"/>
      <c r="K178" s="32"/>
      <c r="L178" s="28">
        <f>ROUND(SUM('Текущие цены с учетом расхода'!AE6:AE16),2)</f>
        <v>0</v>
      </c>
      <c r="N178" s="33" t="s">
        <v>333</v>
      </c>
    </row>
    <row r="179" spans="1:14" ht="10.5">
      <c r="A179" s="29">
        <v>82</v>
      </c>
      <c r="B179" s="7" t="s">
        <v>128</v>
      </c>
      <c r="C179" s="33" t="s">
        <v>253</v>
      </c>
      <c r="D179" s="36">
        <v>0</v>
      </c>
      <c r="F179" s="28">
        <f>ROUND(SUM('Текущие цены с учетом расхода'!C6:C16),2)</f>
        <v>6070.41</v>
      </c>
      <c r="G179" s="28"/>
      <c r="H179" s="28"/>
      <c r="I179" s="28"/>
      <c r="J179" s="32"/>
      <c r="K179" s="32"/>
      <c r="L179" s="28"/>
      <c r="N179" s="33" t="s">
        <v>334</v>
      </c>
    </row>
    <row r="180" spans="1:14" ht="10.5">
      <c r="A180" s="29">
        <v>83</v>
      </c>
      <c r="B180" s="7" t="s">
        <v>129</v>
      </c>
      <c r="C180" s="33" t="s">
        <v>253</v>
      </c>
      <c r="D180" s="36">
        <v>0</v>
      </c>
      <c r="F180" s="28">
        <f>ROUND(SUM('Текущие цены с учетом расхода'!E6:E16),2)</f>
        <v>192.49</v>
      </c>
      <c r="G180" s="28"/>
      <c r="H180" s="28"/>
      <c r="I180" s="28"/>
      <c r="J180" s="32"/>
      <c r="K180" s="32"/>
      <c r="L180" s="28"/>
      <c r="N180" s="33" t="s">
        <v>335</v>
      </c>
    </row>
    <row r="181" spans="1:14" ht="10.5">
      <c r="A181" s="29">
        <v>84</v>
      </c>
      <c r="B181" s="7" t="s">
        <v>130</v>
      </c>
      <c r="C181" s="33" t="s">
        <v>254</v>
      </c>
      <c r="D181" s="36">
        <v>0</v>
      </c>
      <c r="F181" s="28">
        <f>ROUND((F179+F180),2)</f>
        <v>6262.9</v>
      </c>
      <c r="G181" s="28"/>
      <c r="H181" s="28"/>
      <c r="I181" s="28"/>
      <c r="J181" s="32"/>
      <c r="K181" s="32"/>
      <c r="L181" s="28"/>
      <c r="N181" s="33" t="s">
        <v>336</v>
      </c>
    </row>
    <row r="182" spans="1:14" ht="10.5">
      <c r="A182" s="29">
        <v>85</v>
      </c>
      <c r="B182" s="7" t="s">
        <v>131</v>
      </c>
      <c r="C182" s="33" t="s">
        <v>253</v>
      </c>
      <c r="D182" s="36">
        <v>0</v>
      </c>
      <c r="F182" s="28"/>
      <c r="G182" s="28"/>
      <c r="H182" s="28"/>
      <c r="I182" s="28"/>
      <c r="J182" s="32">
        <f>ROUND(SUM('Текущие цены с учетом расхода'!I6:I16),8)</f>
        <v>26.350425</v>
      </c>
      <c r="K182" s="32"/>
      <c r="L182" s="28"/>
      <c r="N182" s="33" t="s">
        <v>337</v>
      </c>
    </row>
    <row r="183" spans="1:14" ht="10.5">
      <c r="A183" s="29">
        <v>86</v>
      </c>
      <c r="B183" s="7" t="s">
        <v>132</v>
      </c>
      <c r="C183" s="33" t="s">
        <v>253</v>
      </c>
      <c r="D183" s="36">
        <v>0</v>
      </c>
      <c r="F183" s="28"/>
      <c r="G183" s="28"/>
      <c r="H183" s="28"/>
      <c r="I183" s="28"/>
      <c r="J183" s="32">
        <f>ROUND(SUM('Текущие цены с учетом расхода'!K6:K16),8)</f>
        <v>0.599795</v>
      </c>
      <c r="K183" s="32"/>
      <c r="L183" s="28"/>
      <c r="N183" s="33" t="s">
        <v>338</v>
      </c>
    </row>
    <row r="184" spans="1:14" ht="10.5">
      <c r="A184" s="29">
        <v>87</v>
      </c>
      <c r="B184" s="7" t="s">
        <v>133</v>
      </c>
      <c r="C184" s="33" t="s">
        <v>254</v>
      </c>
      <c r="D184" s="36">
        <v>0</v>
      </c>
      <c r="F184" s="28"/>
      <c r="G184" s="28"/>
      <c r="H184" s="28"/>
      <c r="I184" s="28"/>
      <c r="J184" s="32">
        <f>ROUND((J182+J183),8)</f>
        <v>26.95022</v>
      </c>
      <c r="K184" s="32"/>
      <c r="L184" s="28"/>
      <c r="N184" s="33" t="s">
        <v>339</v>
      </c>
    </row>
  </sheetData>
  <sheetProtection/>
  <mergeCells count="5">
    <mergeCell ref="B7:L8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K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9" customWidth="1"/>
    <col min="2" max="16384" width="9.140625" style="28" customWidth="1"/>
  </cols>
  <sheetData>
    <row r="1" spans="1:37" s="30" customFormat="1" ht="10.5">
      <c r="A1" s="5"/>
      <c r="B1" s="30" t="s">
        <v>139</v>
      </c>
      <c r="C1" s="30" t="s">
        <v>140</v>
      </c>
      <c r="D1" s="30" t="s">
        <v>141</v>
      </c>
      <c r="E1" s="30" t="s">
        <v>142</v>
      </c>
      <c r="F1" s="30" t="s">
        <v>143</v>
      </c>
      <c r="G1" s="30" t="s">
        <v>144</v>
      </c>
      <c r="H1" s="30" t="s">
        <v>145</v>
      </c>
      <c r="I1" s="30" t="s">
        <v>146</v>
      </c>
      <c r="J1" s="30" t="s">
        <v>147</v>
      </c>
      <c r="K1" s="30" t="s">
        <v>148</v>
      </c>
      <c r="L1" s="30" t="s">
        <v>149</v>
      </c>
      <c r="M1" s="30" t="s">
        <v>150</v>
      </c>
      <c r="N1" s="30" t="s">
        <v>151</v>
      </c>
      <c r="O1" s="30" t="s">
        <v>152</v>
      </c>
      <c r="P1" s="30" t="s">
        <v>153</v>
      </c>
      <c r="Q1" s="30" t="s">
        <v>154</v>
      </c>
      <c r="R1" s="30" t="s">
        <v>155</v>
      </c>
      <c r="S1" s="30" t="s">
        <v>156</v>
      </c>
      <c r="T1" s="30" t="s">
        <v>157</v>
      </c>
      <c r="U1" s="30" t="s">
        <v>158</v>
      </c>
      <c r="V1" s="30" t="s">
        <v>159</v>
      </c>
      <c r="X1" s="30" t="s">
        <v>160</v>
      </c>
      <c r="Y1" s="30" t="s">
        <v>161</v>
      </c>
      <c r="Z1" s="30" t="s">
        <v>162</v>
      </c>
      <c r="AA1" s="30" t="s">
        <v>163</v>
      </c>
      <c r="AB1" s="30" t="s">
        <v>164</v>
      </c>
      <c r="AC1" s="30" t="s">
        <v>165</v>
      </c>
      <c r="AD1" s="30" t="s">
        <v>166</v>
      </c>
      <c r="AE1" s="30" t="s">
        <v>167</v>
      </c>
      <c r="AF1" s="30" t="s">
        <v>168</v>
      </c>
      <c r="AG1" s="30" t="s">
        <v>169</v>
      </c>
      <c r="AH1" s="30" t="s">
        <v>170</v>
      </c>
      <c r="AI1" s="30" t="s">
        <v>171</v>
      </c>
      <c r="AJ1" s="30" t="s">
        <v>172</v>
      </c>
      <c r="AK1" s="30" t="s">
        <v>173</v>
      </c>
    </row>
    <row r="2" spans="1:12" ht="10.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0.5">
      <c r="A3" s="31"/>
      <c r="B3" s="50" t="s">
        <v>174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0.5">
      <c r="A4" s="31"/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0.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37" ht="10.5">
      <c r="A6" s="28"/>
      <c r="B6" s="28">
        <f aca="true" t="shared" si="0" ref="B6:B13">ROUND(C6+D6+F6+AF6+AG6,2)</f>
        <v>13073.08</v>
      </c>
      <c r="C6" s="28">
        <v>1639.19</v>
      </c>
      <c r="D6" s="28">
        <v>289.6</v>
      </c>
      <c r="E6" s="28">
        <v>65.17</v>
      </c>
      <c r="F6" s="28">
        <v>11144.29</v>
      </c>
      <c r="G6" s="28">
        <v>0</v>
      </c>
      <c r="H6" s="28">
        <v>0</v>
      </c>
      <c r="I6" s="29">
        <v>187.55</v>
      </c>
      <c r="J6" s="29">
        <v>0</v>
      </c>
      <c r="K6" s="29">
        <v>5.33</v>
      </c>
      <c r="L6" s="28">
        <v>0</v>
      </c>
      <c r="M6" s="28">
        <v>0</v>
      </c>
      <c r="N6" s="28">
        <v>1810.03032</v>
      </c>
      <c r="O6" s="28">
        <v>912.68478</v>
      </c>
      <c r="P6" s="28">
        <v>1740.81978</v>
      </c>
      <c r="Q6" s="28">
        <v>69.21054</v>
      </c>
      <c r="R6" s="28">
        <v>877.786245</v>
      </c>
      <c r="S6" s="28">
        <v>34.898535</v>
      </c>
      <c r="T6" s="28">
        <v>0</v>
      </c>
      <c r="U6" s="28">
        <v>0</v>
      </c>
      <c r="V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H6" s="28">
        <v>0</v>
      </c>
      <c r="AI6" s="28">
        <v>0</v>
      </c>
      <c r="AJ6" s="28">
        <v>0</v>
      </c>
      <c r="AK6" s="28">
        <v>0</v>
      </c>
    </row>
    <row r="7" spans="1:37" ht="10.5">
      <c r="A7" s="28"/>
      <c r="B7" s="28">
        <f t="shared" si="0"/>
        <v>11271.19</v>
      </c>
      <c r="C7" s="28">
        <v>0</v>
      </c>
      <c r="D7" s="28">
        <v>0</v>
      </c>
      <c r="E7" s="28">
        <v>0</v>
      </c>
      <c r="F7" s="28">
        <v>11271.19</v>
      </c>
      <c r="G7" s="28">
        <v>0</v>
      </c>
      <c r="H7" s="28">
        <v>0</v>
      </c>
      <c r="I7" s="29">
        <v>0</v>
      </c>
      <c r="J7" s="29">
        <v>0</v>
      </c>
      <c r="K7" s="29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H7" s="28">
        <v>0</v>
      </c>
      <c r="AI7" s="28">
        <v>0</v>
      </c>
      <c r="AJ7" s="28">
        <v>0</v>
      </c>
      <c r="AK7" s="28">
        <v>0</v>
      </c>
    </row>
    <row r="8" spans="1:37" ht="10.5">
      <c r="A8" s="28"/>
      <c r="B8" s="28">
        <f t="shared" si="0"/>
        <v>7033.9</v>
      </c>
      <c r="C8" s="28">
        <v>0</v>
      </c>
      <c r="D8" s="28">
        <v>0</v>
      </c>
      <c r="E8" s="28">
        <v>0</v>
      </c>
      <c r="F8" s="28">
        <v>7033.9</v>
      </c>
      <c r="G8" s="28">
        <v>0</v>
      </c>
      <c r="H8" s="28">
        <v>0</v>
      </c>
      <c r="I8" s="29">
        <v>0</v>
      </c>
      <c r="J8" s="29">
        <v>0</v>
      </c>
      <c r="K8" s="29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H8" s="28">
        <v>0</v>
      </c>
      <c r="AI8" s="28">
        <v>0</v>
      </c>
      <c r="AJ8" s="28">
        <v>0</v>
      </c>
      <c r="AK8" s="28">
        <v>0</v>
      </c>
    </row>
    <row r="9" spans="1:37" ht="10.5">
      <c r="A9" s="28"/>
      <c r="B9" s="28">
        <f t="shared" si="0"/>
        <v>10423.73</v>
      </c>
      <c r="C9" s="28">
        <v>0</v>
      </c>
      <c r="D9" s="28">
        <v>0</v>
      </c>
      <c r="E9" s="28">
        <v>0</v>
      </c>
      <c r="F9" s="28">
        <v>10423.73</v>
      </c>
      <c r="G9" s="28">
        <v>0</v>
      </c>
      <c r="H9" s="28">
        <v>0</v>
      </c>
      <c r="I9" s="29">
        <v>0</v>
      </c>
      <c r="J9" s="29">
        <v>0</v>
      </c>
      <c r="K9" s="29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H9" s="28">
        <v>0</v>
      </c>
      <c r="AI9" s="28">
        <v>0</v>
      </c>
      <c r="AJ9" s="28">
        <v>0</v>
      </c>
      <c r="AK9" s="28">
        <v>0</v>
      </c>
    </row>
    <row r="10" spans="1:37" ht="10.5">
      <c r="A10" s="28"/>
      <c r="B10" s="28">
        <f t="shared" si="0"/>
        <v>3418.01</v>
      </c>
      <c r="C10" s="28">
        <v>181.35</v>
      </c>
      <c r="D10" s="28">
        <v>1.56</v>
      </c>
      <c r="E10" s="28">
        <v>0.68</v>
      </c>
      <c r="F10" s="28">
        <v>3235.1</v>
      </c>
      <c r="G10" s="28">
        <v>0</v>
      </c>
      <c r="H10" s="28">
        <v>0</v>
      </c>
      <c r="I10" s="29">
        <v>21.26</v>
      </c>
      <c r="J10" s="29">
        <v>0</v>
      </c>
      <c r="K10" s="29">
        <v>0.05</v>
      </c>
      <c r="L10" s="28">
        <v>0</v>
      </c>
      <c r="M10" s="28">
        <v>0</v>
      </c>
      <c r="N10" s="28">
        <v>193.31586</v>
      </c>
      <c r="O10" s="28">
        <v>97.477065</v>
      </c>
      <c r="P10" s="28">
        <v>192.5937</v>
      </c>
      <c r="Q10" s="28">
        <v>0.72216</v>
      </c>
      <c r="R10" s="28">
        <v>97.112925</v>
      </c>
      <c r="S10" s="28">
        <v>0.36414</v>
      </c>
      <c r="T10" s="28">
        <v>0</v>
      </c>
      <c r="U10" s="28">
        <v>0</v>
      </c>
      <c r="V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H10" s="28">
        <v>0</v>
      </c>
      <c r="AI10" s="28">
        <v>0</v>
      </c>
      <c r="AJ10" s="28">
        <v>0</v>
      </c>
      <c r="AK10" s="28">
        <v>0</v>
      </c>
    </row>
    <row r="11" spans="1:37" ht="10.5">
      <c r="A11" s="28"/>
      <c r="B11" s="28">
        <f t="shared" si="0"/>
        <v>292.37</v>
      </c>
      <c r="C11" s="28">
        <v>0</v>
      </c>
      <c r="D11" s="28">
        <v>0</v>
      </c>
      <c r="E11" s="28">
        <v>0</v>
      </c>
      <c r="F11" s="28">
        <v>292.37</v>
      </c>
      <c r="G11" s="28">
        <v>0</v>
      </c>
      <c r="H11" s="28">
        <v>0</v>
      </c>
      <c r="I11" s="29">
        <v>0</v>
      </c>
      <c r="J11" s="29">
        <v>0</v>
      </c>
      <c r="K11" s="29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H11" s="28">
        <v>0</v>
      </c>
      <c r="AI11" s="28">
        <v>0</v>
      </c>
      <c r="AJ11" s="28">
        <v>0</v>
      </c>
      <c r="AK11" s="28">
        <v>0</v>
      </c>
    </row>
    <row r="12" spans="1:37" ht="10.5">
      <c r="A12" s="28"/>
      <c r="B12" s="28">
        <f t="shared" si="0"/>
        <v>142.85</v>
      </c>
      <c r="C12" s="28">
        <v>14.4</v>
      </c>
      <c r="D12" s="28">
        <v>0</v>
      </c>
      <c r="E12" s="28">
        <v>0</v>
      </c>
      <c r="F12" s="28">
        <v>128.45</v>
      </c>
      <c r="G12" s="28">
        <v>0</v>
      </c>
      <c r="H12" s="28">
        <v>0</v>
      </c>
      <c r="I12" s="29">
        <v>1.55</v>
      </c>
      <c r="J12" s="29">
        <v>0</v>
      </c>
      <c r="K12" s="29">
        <v>0</v>
      </c>
      <c r="L12" s="28">
        <v>0</v>
      </c>
      <c r="M12" s="28">
        <v>0</v>
      </c>
      <c r="N12" s="28">
        <v>13.608</v>
      </c>
      <c r="O12" s="28">
        <v>6.732</v>
      </c>
      <c r="P12" s="28">
        <v>13.608</v>
      </c>
      <c r="Q12" s="28">
        <v>0</v>
      </c>
      <c r="R12" s="28">
        <v>6.732</v>
      </c>
      <c r="S12" s="28">
        <v>0</v>
      </c>
      <c r="T12" s="28">
        <v>0</v>
      </c>
      <c r="U12" s="28">
        <v>0</v>
      </c>
      <c r="V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H12" s="28">
        <v>0</v>
      </c>
      <c r="AI12" s="28">
        <v>0</v>
      </c>
      <c r="AJ12" s="28">
        <v>0</v>
      </c>
      <c r="AK12" s="28">
        <v>0</v>
      </c>
    </row>
    <row r="13" spans="1:37" ht="10.5">
      <c r="A13" s="28"/>
      <c r="B13" s="28">
        <f t="shared" si="0"/>
        <v>89.83</v>
      </c>
      <c r="C13" s="28">
        <v>0</v>
      </c>
      <c r="D13" s="28">
        <v>0</v>
      </c>
      <c r="E13" s="28">
        <v>0</v>
      </c>
      <c r="F13" s="28">
        <v>89.83</v>
      </c>
      <c r="G13" s="28">
        <v>0</v>
      </c>
      <c r="H13" s="28">
        <v>0</v>
      </c>
      <c r="I13" s="29">
        <v>0</v>
      </c>
      <c r="J13" s="29">
        <v>0</v>
      </c>
      <c r="K13" s="29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H13" s="28">
        <v>0</v>
      </c>
      <c r="AI13" s="28">
        <v>0</v>
      </c>
      <c r="AJ13" s="28">
        <v>0</v>
      </c>
      <c r="AK13" s="28">
        <v>0</v>
      </c>
    </row>
  </sheetData>
  <sheetProtection/>
  <mergeCells count="4"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K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9" customWidth="1"/>
    <col min="2" max="16384" width="9.140625" style="28" customWidth="1"/>
  </cols>
  <sheetData>
    <row r="1" spans="1:37" s="30" customFormat="1" ht="10.5">
      <c r="A1" s="5"/>
      <c r="B1" s="30" t="s">
        <v>139</v>
      </c>
      <c r="C1" s="30" t="s">
        <v>140</v>
      </c>
      <c r="D1" s="30" t="s">
        <v>141</v>
      </c>
      <c r="E1" s="30" t="s">
        <v>142</v>
      </c>
      <c r="F1" s="30" t="s">
        <v>143</v>
      </c>
      <c r="G1" s="30" t="s">
        <v>144</v>
      </c>
      <c r="H1" s="30" t="s">
        <v>145</v>
      </c>
      <c r="I1" s="30" t="s">
        <v>146</v>
      </c>
      <c r="J1" s="30" t="s">
        <v>147</v>
      </c>
      <c r="K1" s="30" t="s">
        <v>148</v>
      </c>
      <c r="L1" s="30" t="s">
        <v>149</v>
      </c>
      <c r="M1" s="30" t="s">
        <v>150</v>
      </c>
      <c r="N1" s="30" t="s">
        <v>151</v>
      </c>
      <c r="O1" s="30" t="s">
        <v>152</v>
      </c>
      <c r="P1" s="30" t="s">
        <v>153</v>
      </c>
      <c r="Q1" s="30" t="s">
        <v>154</v>
      </c>
      <c r="R1" s="30" t="s">
        <v>155</v>
      </c>
      <c r="S1" s="30" t="s">
        <v>156</v>
      </c>
      <c r="T1" s="30" t="s">
        <v>157</v>
      </c>
      <c r="U1" s="30" t="s">
        <v>158</v>
      </c>
      <c r="V1" s="30" t="s">
        <v>159</v>
      </c>
      <c r="X1" s="30" t="s">
        <v>160</v>
      </c>
      <c r="Y1" s="30" t="s">
        <v>161</v>
      </c>
      <c r="Z1" s="30" t="s">
        <v>162</v>
      </c>
      <c r="AA1" s="30" t="s">
        <v>163</v>
      </c>
      <c r="AB1" s="30" t="s">
        <v>164</v>
      </c>
      <c r="AC1" s="30" t="s">
        <v>165</v>
      </c>
      <c r="AD1" s="30" t="s">
        <v>166</v>
      </c>
      <c r="AE1" s="30" t="s">
        <v>167</v>
      </c>
      <c r="AF1" s="30" t="s">
        <v>168</v>
      </c>
      <c r="AG1" s="30" t="s">
        <v>169</v>
      </c>
      <c r="AH1" s="30" t="s">
        <v>170</v>
      </c>
      <c r="AI1" s="30" t="s">
        <v>171</v>
      </c>
      <c r="AJ1" s="30" t="s">
        <v>172</v>
      </c>
      <c r="AK1" s="30" t="s">
        <v>173</v>
      </c>
    </row>
    <row r="2" spans="1:12" ht="10.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0.5">
      <c r="A3" s="31"/>
      <c r="B3" s="50" t="s">
        <v>174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0.5">
      <c r="A4" s="31"/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0.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spans="2:12" ht="10.5">
      <c r="B7" s="42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2" ht="10.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37" ht="10.5">
      <c r="A9" s="28"/>
      <c r="B9" s="28">
        <f aca="true" t="shared" si="0" ref="B9:B16">ROUND(C9+D9+F9+AF9+AG9,2)</f>
        <v>13073.08</v>
      </c>
      <c r="C9" s="28">
        <v>1639.19</v>
      </c>
      <c r="D9" s="28">
        <v>289.6</v>
      </c>
      <c r="E9" s="28">
        <v>65.17</v>
      </c>
      <c r="F9" s="28">
        <v>11144.29</v>
      </c>
      <c r="G9" s="28">
        <v>0</v>
      </c>
      <c r="H9" s="28">
        <v>0</v>
      </c>
      <c r="I9" s="29">
        <v>187.55</v>
      </c>
      <c r="J9" s="29">
        <v>0</v>
      </c>
      <c r="K9" s="29">
        <v>5.33</v>
      </c>
      <c r="L9" s="28">
        <v>0</v>
      </c>
      <c r="M9" s="28">
        <v>0</v>
      </c>
      <c r="N9" s="28">
        <v>1810.03032</v>
      </c>
      <c r="O9" s="28">
        <v>912.68478</v>
      </c>
      <c r="P9" s="28">
        <v>1740.81978</v>
      </c>
      <c r="Q9" s="28">
        <v>69.21054</v>
      </c>
      <c r="R9" s="28">
        <v>877.786245</v>
      </c>
      <c r="S9" s="28">
        <v>34.898535</v>
      </c>
      <c r="T9" s="28">
        <v>0</v>
      </c>
      <c r="U9" s="28">
        <v>0</v>
      </c>
      <c r="V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H9" s="28">
        <v>0</v>
      </c>
      <c r="AI9" s="28">
        <v>0</v>
      </c>
      <c r="AJ9" s="28">
        <v>0</v>
      </c>
      <c r="AK9" s="28">
        <v>0</v>
      </c>
    </row>
    <row r="10" spans="1:37" ht="10.5">
      <c r="A10" s="28"/>
      <c r="B10" s="28">
        <f t="shared" si="0"/>
        <v>11271.19</v>
      </c>
      <c r="C10" s="28">
        <v>0</v>
      </c>
      <c r="D10" s="28">
        <v>0</v>
      </c>
      <c r="E10" s="28">
        <v>0</v>
      </c>
      <c r="F10" s="28">
        <v>11271.19</v>
      </c>
      <c r="G10" s="28">
        <v>0</v>
      </c>
      <c r="H10" s="28">
        <v>0</v>
      </c>
      <c r="I10" s="29">
        <v>0</v>
      </c>
      <c r="J10" s="29">
        <v>0</v>
      </c>
      <c r="K10" s="29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H10" s="28">
        <v>0</v>
      </c>
      <c r="AI10" s="28">
        <v>0</v>
      </c>
      <c r="AJ10" s="28">
        <v>0</v>
      </c>
      <c r="AK10" s="28">
        <v>0</v>
      </c>
    </row>
    <row r="11" spans="1:37" ht="10.5">
      <c r="A11" s="28"/>
      <c r="B11" s="28">
        <f t="shared" si="0"/>
        <v>7033.9</v>
      </c>
      <c r="C11" s="28">
        <v>0</v>
      </c>
      <c r="D11" s="28">
        <v>0</v>
      </c>
      <c r="E11" s="28">
        <v>0</v>
      </c>
      <c r="F11" s="28">
        <v>7033.9</v>
      </c>
      <c r="G11" s="28">
        <v>0</v>
      </c>
      <c r="H11" s="28">
        <v>0</v>
      </c>
      <c r="I11" s="29">
        <v>0</v>
      </c>
      <c r="J11" s="29">
        <v>0</v>
      </c>
      <c r="K11" s="29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H11" s="28">
        <v>0</v>
      </c>
      <c r="AI11" s="28">
        <v>0</v>
      </c>
      <c r="AJ11" s="28">
        <v>0</v>
      </c>
      <c r="AK11" s="28">
        <v>0</v>
      </c>
    </row>
    <row r="12" spans="1:37" ht="10.5">
      <c r="A12" s="28"/>
      <c r="B12" s="28">
        <f t="shared" si="0"/>
        <v>10423.73</v>
      </c>
      <c r="C12" s="28">
        <v>0</v>
      </c>
      <c r="D12" s="28">
        <v>0</v>
      </c>
      <c r="E12" s="28">
        <v>0</v>
      </c>
      <c r="F12" s="28">
        <v>10423.73</v>
      </c>
      <c r="G12" s="28">
        <v>0</v>
      </c>
      <c r="H12" s="28">
        <v>0</v>
      </c>
      <c r="I12" s="29">
        <v>0</v>
      </c>
      <c r="J12" s="29">
        <v>0</v>
      </c>
      <c r="K12" s="29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H12" s="28">
        <v>0</v>
      </c>
      <c r="AI12" s="28">
        <v>0</v>
      </c>
      <c r="AJ12" s="28">
        <v>0</v>
      </c>
      <c r="AK12" s="28">
        <v>0</v>
      </c>
    </row>
    <row r="13" spans="1:37" ht="10.5">
      <c r="A13" s="28"/>
      <c r="B13" s="28">
        <f t="shared" si="0"/>
        <v>3418.01</v>
      </c>
      <c r="C13" s="28">
        <v>181.35</v>
      </c>
      <c r="D13" s="28">
        <v>1.56</v>
      </c>
      <c r="E13" s="28">
        <v>0.68</v>
      </c>
      <c r="F13" s="28">
        <v>3235.1</v>
      </c>
      <c r="G13" s="28">
        <v>0</v>
      </c>
      <c r="H13" s="28">
        <v>0</v>
      </c>
      <c r="I13" s="29">
        <v>21.26</v>
      </c>
      <c r="J13" s="29">
        <v>0</v>
      </c>
      <c r="K13" s="29">
        <v>0.05</v>
      </c>
      <c r="L13" s="28">
        <v>0</v>
      </c>
      <c r="M13" s="28">
        <v>0</v>
      </c>
      <c r="N13" s="28">
        <v>193.31586</v>
      </c>
      <c r="O13" s="28">
        <v>97.477065</v>
      </c>
      <c r="P13" s="28">
        <v>192.5937</v>
      </c>
      <c r="Q13" s="28">
        <v>0.72216</v>
      </c>
      <c r="R13" s="28">
        <v>97.112925</v>
      </c>
      <c r="S13" s="28">
        <v>0.36414</v>
      </c>
      <c r="T13" s="28">
        <v>0</v>
      </c>
      <c r="U13" s="28">
        <v>0</v>
      </c>
      <c r="V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H13" s="28">
        <v>0</v>
      </c>
      <c r="AI13" s="28">
        <v>0</v>
      </c>
      <c r="AJ13" s="28">
        <v>0</v>
      </c>
      <c r="AK13" s="28">
        <v>0</v>
      </c>
    </row>
    <row r="14" spans="1:37" ht="10.5">
      <c r="A14" s="28"/>
      <c r="B14" s="28">
        <f t="shared" si="0"/>
        <v>292.37</v>
      </c>
      <c r="C14" s="28">
        <v>0</v>
      </c>
      <c r="D14" s="28">
        <v>0</v>
      </c>
      <c r="E14" s="28">
        <v>0</v>
      </c>
      <c r="F14" s="28">
        <v>292.37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H14" s="28">
        <v>0</v>
      </c>
      <c r="AI14" s="28">
        <v>0</v>
      </c>
      <c r="AJ14" s="28">
        <v>0</v>
      </c>
      <c r="AK14" s="28">
        <v>0</v>
      </c>
    </row>
    <row r="15" spans="1:37" ht="10.5">
      <c r="A15" s="28"/>
      <c r="B15" s="28">
        <f t="shared" si="0"/>
        <v>142.85</v>
      </c>
      <c r="C15" s="28">
        <v>14.4</v>
      </c>
      <c r="D15" s="28">
        <v>0</v>
      </c>
      <c r="E15" s="28">
        <v>0</v>
      </c>
      <c r="F15" s="28">
        <v>128.45</v>
      </c>
      <c r="G15" s="28">
        <v>0</v>
      </c>
      <c r="H15" s="28">
        <v>0</v>
      </c>
      <c r="I15" s="29">
        <v>1.55</v>
      </c>
      <c r="J15" s="29">
        <v>0</v>
      </c>
      <c r="K15" s="29">
        <v>0</v>
      </c>
      <c r="L15" s="28">
        <v>0</v>
      </c>
      <c r="M15" s="28">
        <v>0</v>
      </c>
      <c r="N15" s="28">
        <v>13.608</v>
      </c>
      <c r="O15" s="28">
        <v>6.732</v>
      </c>
      <c r="P15" s="28">
        <v>13.608</v>
      </c>
      <c r="Q15" s="28">
        <v>0</v>
      </c>
      <c r="R15" s="28">
        <v>6.732</v>
      </c>
      <c r="S15" s="28">
        <v>0</v>
      </c>
      <c r="T15" s="28">
        <v>0</v>
      </c>
      <c r="U15" s="28">
        <v>0</v>
      </c>
      <c r="V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H15" s="28">
        <v>0</v>
      </c>
      <c r="AI15" s="28">
        <v>0</v>
      </c>
      <c r="AJ15" s="28">
        <v>0</v>
      </c>
      <c r="AK15" s="28">
        <v>0</v>
      </c>
    </row>
    <row r="16" spans="1:37" ht="10.5">
      <c r="A16" s="28"/>
      <c r="B16" s="28">
        <f t="shared" si="0"/>
        <v>89.83</v>
      </c>
      <c r="C16" s="28">
        <v>0</v>
      </c>
      <c r="D16" s="28">
        <v>0</v>
      </c>
      <c r="E16" s="28">
        <v>0</v>
      </c>
      <c r="F16" s="28">
        <v>89.83</v>
      </c>
      <c r="G16" s="28">
        <v>0</v>
      </c>
      <c r="H16" s="28">
        <v>0</v>
      </c>
      <c r="I16" s="29">
        <v>0</v>
      </c>
      <c r="J16" s="29">
        <v>0</v>
      </c>
      <c r="K16" s="29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H16" s="28">
        <v>0</v>
      </c>
      <c r="AI16" s="28">
        <v>0</v>
      </c>
      <c r="AJ16" s="28">
        <v>0</v>
      </c>
      <c r="AK16" s="28">
        <v>0</v>
      </c>
    </row>
  </sheetData>
  <sheetProtection/>
  <mergeCells count="5">
    <mergeCell ref="B7:L8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K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9" customWidth="1"/>
    <col min="2" max="16384" width="9.140625" style="28" customWidth="1"/>
  </cols>
  <sheetData>
    <row r="1" spans="1:37" s="30" customFormat="1" ht="10.5">
      <c r="A1" s="5"/>
      <c r="B1" s="30" t="s">
        <v>139</v>
      </c>
      <c r="C1" s="30" t="s">
        <v>140</v>
      </c>
      <c r="D1" s="30" t="s">
        <v>141</v>
      </c>
      <c r="E1" s="30" t="s">
        <v>142</v>
      </c>
      <c r="F1" s="30" t="s">
        <v>143</v>
      </c>
      <c r="G1" s="30" t="s">
        <v>144</v>
      </c>
      <c r="H1" s="30" t="s">
        <v>145</v>
      </c>
      <c r="I1" s="30" t="s">
        <v>146</v>
      </c>
      <c r="J1" s="30" t="s">
        <v>147</v>
      </c>
      <c r="K1" s="30" t="s">
        <v>148</v>
      </c>
      <c r="L1" s="30" t="s">
        <v>149</v>
      </c>
      <c r="M1" s="30" t="s">
        <v>150</v>
      </c>
      <c r="N1" s="30" t="s">
        <v>151</v>
      </c>
      <c r="O1" s="30" t="s">
        <v>152</v>
      </c>
      <c r="P1" s="30" t="s">
        <v>153</v>
      </c>
      <c r="Q1" s="30" t="s">
        <v>154</v>
      </c>
      <c r="R1" s="30" t="s">
        <v>155</v>
      </c>
      <c r="S1" s="30" t="s">
        <v>156</v>
      </c>
      <c r="T1" s="30" t="s">
        <v>157</v>
      </c>
      <c r="U1" s="30" t="s">
        <v>158</v>
      </c>
      <c r="V1" s="30" t="s">
        <v>159</v>
      </c>
      <c r="X1" s="30" t="s">
        <v>160</v>
      </c>
      <c r="Y1" s="30" t="s">
        <v>161</v>
      </c>
      <c r="Z1" s="30" t="s">
        <v>162</v>
      </c>
      <c r="AA1" s="30" t="s">
        <v>163</v>
      </c>
      <c r="AB1" s="30" t="s">
        <v>164</v>
      </c>
      <c r="AC1" s="30" t="s">
        <v>165</v>
      </c>
      <c r="AD1" s="30" t="s">
        <v>166</v>
      </c>
      <c r="AE1" s="30" t="s">
        <v>167</v>
      </c>
      <c r="AF1" s="30" t="s">
        <v>168</v>
      </c>
      <c r="AG1" s="30" t="s">
        <v>169</v>
      </c>
      <c r="AH1" s="30" t="s">
        <v>170</v>
      </c>
      <c r="AI1" s="30" t="s">
        <v>171</v>
      </c>
      <c r="AJ1" s="30" t="s">
        <v>172</v>
      </c>
      <c r="AK1" s="30" t="s">
        <v>173</v>
      </c>
    </row>
    <row r="2" spans="1:12" ht="10.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0.5">
      <c r="A3" s="31"/>
      <c r="B3" s="50" t="s">
        <v>174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0.5">
      <c r="A4" s="31"/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0.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spans="2:12" ht="10.5">
      <c r="B7" s="42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2" ht="10.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37" ht="10.5">
      <c r="A9" s="28"/>
      <c r="B9" s="28">
        <f aca="true" t="shared" si="0" ref="B9:B16">ROUND(C9+D9+F9+AF9+AG9,2)</f>
        <v>101106.51</v>
      </c>
      <c r="C9" s="28">
        <v>42979.56</v>
      </c>
      <c r="D9" s="28">
        <v>3185.6</v>
      </c>
      <c r="E9" s="28">
        <v>1708.76</v>
      </c>
      <c r="F9" s="28">
        <v>54941.35</v>
      </c>
      <c r="G9" s="28">
        <v>0</v>
      </c>
      <c r="H9" s="28">
        <v>0</v>
      </c>
      <c r="I9" s="29">
        <v>187.55</v>
      </c>
      <c r="J9" s="29">
        <v>0</v>
      </c>
      <c r="K9" s="29">
        <v>5.33</v>
      </c>
      <c r="L9" s="28">
        <v>0</v>
      </c>
      <c r="M9" s="28">
        <v>0</v>
      </c>
      <c r="N9" s="28">
        <v>40340.146464</v>
      </c>
      <c r="O9" s="28">
        <v>19144.476288</v>
      </c>
      <c r="P9" s="28">
        <v>38797.648812</v>
      </c>
      <c r="Q9" s="28">
        <v>1542.497652</v>
      </c>
      <c r="R9" s="28">
        <v>18412.443504</v>
      </c>
      <c r="S9" s="28">
        <v>732.032784</v>
      </c>
      <c r="T9" s="28">
        <v>0</v>
      </c>
      <c r="U9" s="28">
        <v>0</v>
      </c>
      <c r="V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H9" s="28">
        <v>0</v>
      </c>
      <c r="AI9" s="28">
        <v>0</v>
      </c>
      <c r="AJ9" s="28">
        <v>0</v>
      </c>
      <c r="AK9" s="28">
        <v>0</v>
      </c>
    </row>
    <row r="10" spans="1:37" ht="10.5">
      <c r="A10" s="28"/>
      <c r="B10" s="28">
        <f t="shared" si="0"/>
        <v>11271.19</v>
      </c>
      <c r="C10" s="28">
        <v>0</v>
      </c>
      <c r="D10" s="28">
        <v>0</v>
      </c>
      <c r="E10" s="28">
        <v>0</v>
      </c>
      <c r="F10" s="28">
        <v>11271.19</v>
      </c>
      <c r="G10" s="28">
        <v>0</v>
      </c>
      <c r="H10" s="28">
        <v>0</v>
      </c>
      <c r="I10" s="29">
        <v>0</v>
      </c>
      <c r="J10" s="29">
        <v>0</v>
      </c>
      <c r="K10" s="29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H10" s="28">
        <v>0</v>
      </c>
      <c r="AI10" s="28">
        <v>0</v>
      </c>
      <c r="AJ10" s="28">
        <v>0</v>
      </c>
      <c r="AK10" s="28">
        <v>0</v>
      </c>
    </row>
    <row r="11" spans="1:37" ht="10.5">
      <c r="A11" s="28"/>
      <c r="B11" s="28">
        <f t="shared" si="0"/>
        <v>7033.9</v>
      </c>
      <c r="C11" s="28">
        <v>0</v>
      </c>
      <c r="D11" s="28">
        <v>0</v>
      </c>
      <c r="E11" s="28">
        <v>0</v>
      </c>
      <c r="F11" s="28">
        <v>7033.9</v>
      </c>
      <c r="G11" s="28">
        <v>0</v>
      </c>
      <c r="H11" s="28">
        <v>0</v>
      </c>
      <c r="I11" s="29">
        <v>0</v>
      </c>
      <c r="J11" s="29">
        <v>0</v>
      </c>
      <c r="K11" s="29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H11" s="28">
        <v>0</v>
      </c>
      <c r="AI11" s="28">
        <v>0</v>
      </c>
      <c r="AJ11" s="28">
        <v>0</v>
      </c>
      <c r="AK11" s="28">
        <v>0</v>
      </c>
    </row>
    <row r="12" spans="1:37" ht="10.5">
      <c r="A12" s="28"/>
      <c r="B12" s="28">
        <f t="shared" si="0"/>
        <v>10423.73</v>
      </c>
      <c r="C12" s="28">
        <v>0</v>
      </c>
      <c r="D12" s="28">
        <v>0</v>
      </c>
      <c r="E12" s="28">
        <v>0</v>
      </c>
      <c r="F12" s="28">
        <v>10423.73</v>
      </c>
      <c r="G12" s="28">
        <v>0</v>
      </c>
      <c r="H12" s="28">
        <v>0</v>
      </c>
      <c r="I12" s="29">
        <v>0</v>
      </c>
      <c r="J12" s="29">
        <v>0</v>
      </c>
      <c r="K12" s="29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H12" s="28">
        <v>0</v>
      </c>
      <c r="AI12" s="28">
        <v>0</v>
      </c>
      <c r="AJ12" s="28">
        <v>0</v>
      </c>
      <c r="AK12" s="28">
        <v>0</v>
      </c>
    </row>
    <row r="13" spans="1:37" ht="10.5">
      <c r="A13" s="28"/>
      <c r="B13" s="28">
        <f t="shared" si="0"/>
        <v>26641.21</v>
      </c>
      <c r="C13" s="28">
        <v>4755</v>
      </c>
      <c r="D13" s="28">
        <v>16.93</v>
      </c>
      <c r="E13" s="28">
        <v>17.83</v>
      </c>
      <c r="F13" s="28">
        <v>21869.28</v>
      </c>
      <c r="G13" s="28">
        <v>0</v>
      </c>
      <c r="H13" s="28">
        <v>0</v>
      </c>
      <c r="I13" s="29">
        <v>21.26</v>
      </c>
      <c r="J13" s="29">
        <v>0</v>
      </c>
      <c r="K13" s="29">
        <v>0.05</v>
      </c>
      <c r="L13" s="28">
        <v>0</v>
      </c>
      <c r="M13" s="28">
        <v>0</v>
      </c>
      <c r="N13" s="28">
        <v>4308.433641</v>
      </c>
      <c r="O13" s="28">
        <v>2044.680372</v>
      </c>
      <c r="P13" s="28">
        <v>4292.3385</v>
      </c>
      <c r="Q13" s="28">
        <v>16.095141</v>
      </c>
      <c r="R13" s="28">
        <v>2037.042</v>
      </c>
      <c r="S13" s="28">
        <v>7.638372</v>
      </c>
      <c r="T13" s="28">
        <v>0</v>
      </c>
      <c r="U13" s="28">
        <v>0</v>
      </c>
      <c r="V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H13" s="28">
        <v>0</v>
      </c>
      <c r="AI13" s="28">
        <v>0</v>
      </c>
      <c r="AJ13" s="28">
        <v>0</v>
      </c>
      <c r="AK13" s="28">
        <v>0</v>
      </c>
    </row>
    <row r="14" spans="1:37" ht="10.5">
      <c r="A14" s="28"/>
      <c r="B14" s="28">
        <f t="shared" si="0"/>
        <v>292.37</v>
      </c>
      <c r="C14" s="28">
        <v>0</v>
      </c>
      <c r="D14" s="28">
        <v>0</v>
      </c>
      <c r="E14" s="28">
        <v>0</v>
      </c>
      <c r="F14" s="28">
        <v>292.37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H14" s="28">
        <v>0</v>
      </c>
      <c r="AI14" s="28">
        <v>0</v>
      </c>
      <c r="AJ14" s="28">
        <v>0</v>
      </c>
      <c r="AK14" s="28">
        <v>0</v>
      </c>
    </row>
    <row r="15" spans="1:37" ht="10.5">
      <c r="A15" s="28"/>
      <c r="B15" s="28">
        <f t="shared" si="0"/>
        <v>1284.43</v>
      </c>
      <c r="C15" s="28">
        <v>377.57</v>
      </c>
      <c r="D15" s="28">
        <v>0</v>
      </c>
      <c r="E15" s="28">
        <v>0</v>
      </c>
      <c r="F15" s="28">
        <v>906.86</v>
      </c>
      <c r="G15" s="28">
        <v>0</v>
      </c>
      <c r="H15" s="28">
        <v>0</v>
      </c>
      <c r="I15" s="29">
        <v>1.55</v>
      </c>
      <c r="J15" s="29">
        <v>0</v>
      </c>
      <c r="K15" s="29">
        <v>0</v>
      </c>
      <c r="L15" s="28">
        <v>0</v>
      </c>
      <c r="M15" s="28">
        <v>0</v>
      </c>
      <c r="N15" s="28">
        <v>303.301981</v>
      </c>
      <c r="O15" s="28">
        <v>141.21118</v>
      </c>
      <c r="P15" s="28">
        <v>303.301981</v>
      </c>
      <c r="Q15" s="28">
        <v>0</v>
      </c>
      <c r="R15" s="28">
        <v>141.21118</v>
      </c>
      <c r="S15" s="28">
        <v>0</v>
      </c>
      <c r="T15" s="28">
        <v>0</v>
      </c>
      <c r="U15" s="28">
        <v>0</v>
      </c>
      <c r="V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H15" s="28">
        <v>0</v>
      </c>
      <c r="AI15" s="28">
        <v>0</v>
      </c>
      <c r="AJ15" s="28">
        <v>0</v>
      </c>
      <c r="AK15" s="28">
        <v>0</v>
      </c>
    </row>
    <row r="16" spans="1:37" ht="10.5">
      <c r="A16" s="28"/>
      <c r="B16" s="28">
        <f t="shared" si="0"/>
        <v>89.83</v>
      </c>
      <c r="C16" s="28">
        <v>0</v>
      </c>
      <c r="D16" s="28">
        <v>0</v>
      </c>
      <c r="E16" s="28">
        <v>0</v>
      </c>
      <c r="F16" s="28">
        <v>89.83</v>
      </c>
      <c r="G16" s="28">
        <v>0</v>
      </c>
      <c r="H16" s="28">
        <v>0</v>
      </c>
      <c r="I16" s="29">
        <v>0</v>
      </c>
      <c r="J16" s="29">
        <v>0</v>
      </c>
      <c r="K16" s="29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H16" s="28">
        <v>0</v>
      </c>
      <c r="AI16" s="28">
        <v>0</v>
      </c>
      <c r="AJ16" s="28">
        <v>0</v>
      </c>
      <c r="AK16" s="28">
        <v>0</v>
      </c>
    </row>
  </sheetData>
  <sheetProtection/>
  <mergeCells count="5">
    <mergeCell ref="B7:L8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K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9" customWidth="1"/>
    <col min="2" max="16384" width="9.140625" style="28" customWidth="1"/>
  </cols>
  <sheetData>
    <row r="1" spans="1:37" s="30" customFormat="1" ht="10.5">
      <c r="A1" s="5"/>
      <c r="B1" s="30" t="s">
        <v>139</v>
      </c>
      <c r="C1" s="30" t="s">
        <v>140</v>
      </c>
      <c r="D1" s="30" t="s">
        <v>141</v>
      </c>
      <c r="E1" s="30" t="s">
        <v>142</v>
      </c>
      <c r="F1" s="30" t="s">
        <v>143</v>
      </c>
      <c r="G1" s="30" t="s">
        <v>144</v>
      </c>
      <c r="H1" s="30" t="s">
        <v>145</v>
      </c>
      <c r="I1" s="30" t="s">
        <v>146</v>
      </c>
      <c r="J1" s="30" t="s">
        <v>147</v>
      </c>
      <c r="K1" s="30" t="s">
        <v>148</v>
      </c>
      <c r="L1" s="30" t="s">
        <v>149</v>
      </c>
      <c r="M1" s="30" t="s">
        <v>150</v>
      </c>
      <c r="N1" s="30" t="s">
        <v>151</v>
      </c>
      <c r="O1" s="30" t="s">
        <v>152</v>
      </c>
      <c r="P1" s="30" t="s">
        <v>153</v>
      </c>
      <c r="Q1" s="30" t="s">
        <v>154</v>
      </c>
      <c r="R1" s="30" t="s">
        <v>155</v>
      </c>
      <c r="S1" s="30" t="s">
        <v>156</v>
      </c>
      <c r="T1" s="30" t="s">
        <v>157</v>
      </c>
      <c r="U1" s="30" t="s">
        <v>158</v>
      </c>
      <c r="V1" s="30" t="s">
        <v>159</v>
      </c>
      <c r="X1" s="30" t="s">
        <v>160</v>
      </c>
      <c r="Y1" s="30" t="s">
        <v>161</v>
      </c>
      <c r="Z1" s="30" t="s">
        <v>162</v>
      </c>
      <c r="AA1" s="30" t="s">
        <v>163</v>
      </c>
      <c r="AB1" s="30" t="s">
        <v>164</v>
      </c>
      <c r="AC1" s="30" t="s">
        <v>165</v>
      </c>
      <c r="AD1" s="30" t="s">
        <v>166</v>
      </c>
      <c r="AE1" s="30" t="s">
        <v>167</v>
      </c>
      <c r="AF1" s="30" t="s">
        <v>168</v>
      </c>
      <c r="AG1" s="30" t="s">
        <v>169</v>
      </c>
      <c r="AH1" s="30" t="s">
        <v>170</v>
      </c>
      <c r="AI1" s="30" t="s">
        <v>171</v>
      </c>
      <c r="AJ1" s="30" t="s">
        <v>172</v>
      </c>
      <c r="AK1" s="30" t="s">
        <v>173</v>
      </c>
    </row>
    <row r="2" spans="1:12" ht="10.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0.5">
      <c r="A3" s="31"/>
      <c r="B3" s="50" t="s">
        <v>174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0.5">
      <c r="A4" s="31"/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0.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spans="2:12" ht="10.5">
      <c r="B7" s="42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2" ht="10.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37" ht="10.5">
      <c r="A9" s="28"/>
      <c r="B9" s="28">
        <f aca="true" t="shared" si="0" ref="B9:B16">ROUND(C9+D9+F9+AF9+AG9,2)</f>
        <v>1457.65</v>
      </c>
      <c r="C9" s="28">
        <f>ROUND('Форма 4а'!E23*'Базовые цены за единицу'!C9,2)</f>
        <v>182.77</v>
      </c>
      <c r="D9" s="28">
        <f>ROUND('Форма 4а'!E23*'Базовые цены за единицу'!D9,2)</f>
        <v>32.29</v>
      </c>
      <c r="E9" s="28">
        <f>ROUND('Форма 4а'!E23*'Базовые цены за единицу'!E9,2)</f>
        <v>7.27</v>
      </c>
      <c r="F9" s="28">
        <f>ROUND('Форма 4а'!E23*'Базовые цены за единицу'!F9,2)</f>
        <v>1242.59</v>
      </c>
      <c r="G9" s="28">
        <f>ROUND('Форма 4а'!E23*'Базовые цены за единицу'!G9,2)</f>
        <v>0</v>
      </c>
      <c r="H9" s="28">
        <f>ROUND('Форма 4а'!E23*'Базовые цены за единицу'!H9,2)</f>
        <v>0</v>
      </c>
      <c r="I9" s="32">
        <f>ОКРУГЛВСЕ('Форма 4а'!E23*'Базовые цены за единицу'!I9,8)</f>
        <v>20.911825</v>
      </c>
      <c r="J9" s="29">
        <f>ОКРУГЛВСЕ('Форма 4а'!E23*'Базовые цены за единицу'!J9,8)</f>
        <v>0</v>
      </c>
      <c r="K9" s="32">
        <f>ОКРУГЛВСЕ('Форма 4а'!E23*'Базовые цены за единицу'!K9,8)</f>
        <v>0.594295</v>
      </c>
      <c r="L9" s="28">
        <f>ROUND('Форма 4а'!E23*'Базовые цены за единицу'!L9,2)</f>
        <v>0</v>
      </c>
      <c r="M9" s="28">
        <f>ROUND('Форма 4а'!E23*'Базовые цены за единицу'!M9,2)</f>
        <v>0</v>
      </c>
      <c r="N9" s="28">
        <f>ROUND((C9+E9)*'Форма 4а'!F38/100,2)</f>
        <v>201.82</v>
      </c>
      <c r="O9" s="28">
        <f>ROUND((C9+E9)*'Форма 4а'!F41/100,2)</f>
        <v>101.77</v>
      </c>
      <c r="P9" s="28">
        <f>ROUND('Форма 4а'!E23*'Базовые цены за единицу'!P9,2)</f>
        <v>194.1</v>
      </c>
      <c r="Q9" s="28">
        <f>ROUND('Форма 4а'!E23*'Базовые цены за единицу'!Q9,2)</f>
        <v>7.72</v>
      </c>
      <c r="R9" s="28">
        <f>ROUND('Форма 4а'!E23*'Базовые цены за единицу'!R9,2)</f>
        <v>97.87</v>
      </c>
      <c r="S9" s="28">
        <f>ROUND('Форма 4а'!E23*'Базовые цены за единицу'!S9,2)</f>
        <v>3.89</v>
      </c>
      <c r="T9" s="28">
        <f>ROUND('Форма 4а'!E23*'Базовые цены за единицу'!T9,2)</f>
        <v>0</v>
      </c>
      <c r="U9" s="28">
        <f>ROUND('Форма 4а'!E23*'Базовые цены за единицу'!U9,2)</f>
        <v>0</v>
      </c>
      <c r="V9" s="28">
        <f>ROUND('Форма 4а'!E23*'Базовые цены за единицу'!V9,2)</f>
        <v>0</v>
      </c>
      <c r="X9" s="28">
        <f>ROUND('Форма 4а'!E23*'Базовые цены за единицу'!X9,2)</f>
        <v>0</v>
      </c>
      <c r="Y9" s="28">
        <f>IF(Определители!I9="9",ROUND((C9+E9)*(Начисления!M9/100)*('Форма 4а'!F38/100),2),0)</f>
        <v>0</v>
      </c>
      <c r="Z9" s="28">
        <f>IF(Определители!I9="9",ROUND((C9+E9)*(100-Начисления!M9/100)*('Форма 4а'!F38/100),2),0)</f>
        <v>0</v>
      </c>
      <c r="AA9" s="28">
        <f>IF(Определители!I9="9",ROUND((C9+E9)*(Начисления!M9/100)*('Форма 4а'!F41/100),2),0)</f>
        <v>0</v>
      </c>
      <c r="AB9" s="28">
        <f>IF(Определители!I9="9",ROUND((C9+E9)*(100-Начисления!M9/100)*('Форма 4а'!F41/100),2),0)</f>
        <v>0</v>
      </c>
      <c r="AC9" s="28">
        <f>IF(Определители!I9="9",ROUND(B9*Начисления!M9/100,2),0)</f>
        <v>0</v>
      </c>
      <c r="AD9" s="28">
        <f>IF(Определители!I9="9",ROUND(B9*(100-Начисления!M9)/100,2),0)</f>
        <v>0</v>
      </c>
      <c r="AE9" s="28">
        <f>ROUND('Форма 4а'!E23*'Базовые цены за единицу'!AE9,2)</f>
        <v>0</v>
      </c>
      <c r="AH9" s="28">
        <f>ROUND('Форма 4а'!E23*'Базовые цены за единицу'!AH9,2)</f>
        <v>0</v>
      </c>
      <c r="AI9" s="28">
        <f>ROUND('Форма 4а'!E23*'Базовые цены за единицу'!AI9,2)</f>
        <v>0</v>
      </c>
      <c r="AJ9" s="28">
        <f>ROUND('Форма 4а'!E23*'Базовые цены за единицу'!AJ9,2)</f>
        <v>0</v>
      </c>
      <c r="AK9" s="28">
        <f>ROUND('Форма 4а'!E23*'Базовые цены за единицу'!AK9,2)</f>
        <v>0</v>
      </c>
    </row>
    <row r="10" spans="1:37" ht="10.5">
      <c r="A10" s="28"/>
      <c r="B10" s="28">
        <f t="shared" si="0"/>
        <v>45084.76</v>
      </c>
      <c r="C10" s="28">
        <f>ROUND('Форма 4а'!E46*'Базовые цены за единицу'!C10,2)</f>
        <v>0</v>
      </c>
      <c r="D10" s="28">
        <f>ROUND('Форма 4а'!E46*'Базовые цены за единицу'!D10,2)</f>
        <v>0</v>
      </c>
      <c r="E10" s="28">
        <f>ROUND('Форма 4а'!E46*'Базовые цены за единицу'!E10,2)</f>
        <v>0</v>
      </c>
      <c r="F10" s="28">
        <f>ROUND('Форма 4а'!E46*'Базовые цены за единицу'!F10,2)</f>
        <v>45084.76</v>
      </c>
      <c r="G10" s="28">
        <f>ROUND('Форма 4а'!E46*'Базовые цены за единицу'!G10,2)</f>
        <v>0</v>
      </c>
      <c r="H10" s="28">
        <f>ROUND('Форма 4а'!E46*'Базовые цены за единицу'!H10,2)</f>
        <v>0</v>
      </c>
      <c r="I10" s="32">
        <f>ОКРУГЛВСЕ('Форма 4а'!E46*'Базовые цены за единицу'!I10,8)</f>
        <v>0</v>
      </c>
      <c r="J10" s="29">
        <f>ОКРУГЛВСЕ('Форма 4а'!E46*'Базовые цены за единицу'!J10,8)</f>
        <v>0</v>
      </c>
      <c r="K10" s="32">
        <f>ОКРУГЛВСЕ('Форма 4а'!E46*'Базовые цены за единицу'!K10,8)</f>
        <v>0</v>
      </c>
      <c r="L10" s="28">
        <f>ROUND('Форма 4а'!E46*'Базовые цены за единицу'!L10,2)</f>
        <v>0</v>
      </c>
      <c r="M10" s="28">
        <f>ROUND('Форма 4а'!E46*'Базовые цены за единицу'!M10,2)</f>
        <v>0</v>
      </c>
      <c r="N10" s="28">
        <f>ROUND((C10+E10)*'Форма 4а'!F56/100,2)</f>
        <v>0</v>
      </c>
      <c r="O10" s="28">
        <f>ROUND((C10+E10)*'Форма 4а'!F59/100,2)</f>
        <v>0</v>
      </c>
      <c r="P10" s="28">
        <f>ROUND('Форма 4а'!E46*'Базовые цены за единицу'!P10,2)</f>
        <v>0</v>
      </c>
      <c r="Q10" s="28">
        <f>ROUND('Форма 4а'!E46*'Базовые цены за единицу'!Q10,2)</f>
        <v>0</v>
      </c>
      <c r="R10" s="28">
        <f>ROUND('Форма 4а'!E46*'Базовые цены за единицу'!R10,2)</f>
        <v>0</v>
      </c>
      <c r="S10" s="28">
        <f>ROUND('Форма 4а'!E46*'Базовые цены за единицу'!S10,2)</f>
        <v>0</v>
      </c>
      <c r="T10" s="28">
        <f>ROUND('Форма 4а'!E46*'Базовые цены за единицу'!T10,2)</f>
        <v>0</v>
      </c>
      <c r="U10" s="28">
        <f>ROUND('Форма 4а'!E46*'Базовые цены за единицу'!U10,2)</f>
        <v>0</v>
      </c>
      <c r="V10" s="28">
        <f>ROUND('Форма 4а'!E46*'Базовые цены за единицу'!V10,2)</f>
        <v>0</v>
      </c>
      <c r="X10" s="28">
        <f>ROUND('Форма 4а'!E46*'Базовые цены за единицу'!X10,2)</f>
        <v>0</v>
      </c>
      <c r="Y10" s="28">
        <f>IF(Определители!I10="9",ROUND((C10+E10)*(Начисления!M10/100)*('Форма 4а'!F56/100),2),0)</f>
        <v>0</v>
      </c>
      <c r="Z10" s="28">
        <f>IF(Определители!I10="9",ROUND((C10+E10)*(100-Начисления!M10/100)*('Форма 4а'!F56/100),2),0)</f>
        <v>0</v>
      </c>
      <c r="AA10" s="28">
        <f>IF(Определители!I10="9",ROUND((C10+E10)*(Начисления!M10/100)*('Форма 4а'!F59/100),2),0)</f>
        <v>0</v>
      </c>
      <c r="AB10" s="28">
        <f>IF(Определители!I10="9",ROUND((C10+E10)*(100-Начисления!M10/100)*('Форма 4а'!F59/100),2),0)</f>
        <v>0</v>
      </c>
      <c r="AC10" s="28">
        <f>IF(Определители!I10="9",ROUND(B10*Начисления!M10/100,2),0)</f>
        <v>0</v>
      </c>
      <c r="AD10" s="28">
        <f>IF(Определители!I10="9",ROUND(B10*(100-Начисления!M10)/100,2),0)</f>
        <v>0</v>
      </c>
      <c r="AE10" s="28">
        <f>ROUND('Форма 4а'!E46*'Базовые цены за единицу'!AE10,2)</f>
        <v>0</v>
      </c>
      <c r="AH10" s="28">
        <f>ROUND('Форма 4а'!E46*'Базовые цены за единицу'!AH10,2)</f>
        <v>0</v>
      </c>
      <c r="AI10" s="28">
        <f>ROUND('Форма 4а'!E46*'Базовые цены за единицу'!AI10,2)</f>
        <v>0</v>
      </c>
      <c r="AJ10" s="28">
        <f>ROUND('Форма 4а'!E46*'Базовые цены за единицу'!AJ10,2)</f>
        <v>0</v>
      </c>
      <c r="AK10" s="28">
        <f>ROUND('Форма 4а'!E46*'Базовые цены за единицу'!AK10,2)</f>
        <v>0</v>
      </c>
    </row>
    <row r="11" spans="1:37" ht="10.5">
      <c r="A11" s="28"/>
      <c r="B11" s="28">
        <f t="shared" si="0"/>
        <v>21101.7</v>
      </c>
      <c r="C11" s="28">
        <f>ROUND('Форма 4а'!E62*'Базовые цены за единицу'!C11,2)</f>
        <v>0</v>
      </c>
      <c r="D11" s="28">
        <f>ROUND('Форма 4а'!E62*'Базовые цены за единицу'!D11,2)</f>
        <v>0</v>
      </c>
      <c r="E11" s="28">
        <f>ROUND('Форма 4а'!E62*'Базовые цены за единицу'!E11,2)</f>
        <v>0</v>
      </c>
      <c r="F11" s="28">
        <f>ROUND('Форма 4а'!E62*'Базовые цены за единицу'!F11,2)</f>
        <v>21101.7</v>
      </c>
      <c r="G11" s="28">
        <f>ROUND('Форма 4а'!E62*'Базовые цены за единицу'!G11,2)</f>
        <v>0</v>
      </c>
      <c r="H11" s="28">
        <f>ROUND('Форма 4а'!E62*'Базовые цены за единицу'!H11,2)</f>
        <v>0</v>
      </c>
      <c r="I11" s="32">
        <f>ОКРУГЛВСЕ('Форма 4а'!E62*'Базовые цены за единицу'!I11,8)</f>
        <v>0</v>
      </c>
      <c r="J11" s="29">
        <f>ОКРУГЛВСЕ('Форма 4а'!E62*'Базовые цены за единицу'!J11,8)</f>
        <v>0</v>
      </c>
      <c r="K11" s="32">
        <f>ОКРУГЛВСЕ('Форма 4а'!E62*'Базовые цены за единицу'!K11,8)</f>
        <v>0</v>
      </c>
      <c r="L11" s="28">
        <f>ROUND('Форма 4а'!E62*'Базовые цены за единицу'!L11,2)</f>
        <v>0</v>
      </c>
      <c r="M11" s="28">
        <f>ROUND('Форма 4а'!E62*'Базовые цены за единицу'!M11,2)</f>
        <v>0</v>
      </c>
      <c r="N11" s="28">
        <f>ROUND((C11+E11)*'Форма 4а'!F72/100,2)</f>
        <v>0</v>
      </c>
      <c r="O11" s="28">
        <f>ROUND((C11+E11)*'Форма 4а'!F75/100,2)</f>
        <v>0</v>
      </c>
      <c r="P11" s="28">
        <f>ROUND('Форма 4а'!E62*'Базовые цены за единицу'!P11,2)</f>
        <v>0</v>
      </c>
      <c r="Q11" s="28">
        <f>ROUND('Форма 4а'!E62*'Базовые цены за единицу'!Q11,2)</f>
        <v>0</v>
      </c>
      <c r="R11" s="28">
        <f>ROUND('Форма 4а'!E62*'Базовые цены за единицу'!R11,2)</f>
        <v>0</v>
      </c>
      <c r="S11" s="28">
        <f>ROUND('Форма 4а'!E62*'Базовые цены за единицу'!S11,2)</f>
        <v>0</v>
      </c>
      <c r="T11" s="28">
        <f>ROUND('Форма 4а'!E62*'Базовые цены за единицу'!T11,2)</f>
        <v>0</v>
      </c>
      <c r="U11" s="28">
        <f>ROUND('Форма 4а'!E62*'Базовые цены за единицу'!U11,2)</f>
        <v>0</v>
      </c>
      <c r="V11" s="28">
        <f>ROUND('Форма 4а'!E62*'Базовые цены за единицу'!V11,2)</f>
        <v>0</v>
      </c>
      <c r="X11" s="28">
        <f>ROUND('Форма 4а'!E62*'Базовые цены за единицу'!X11,2)</f>
        <v>0</v>
      </c>
      <c r="Y11" s="28">
        <f>IF(Определители!I11="9",ROUND((C11+E11)*(Начисления!M11/100)*('Форма 4а'!F72/100),2),0)</f>
        <v>0</v>
      </c>
      <c r="Z11" s="28">
        <f>IF(Определители!I11="9",ROUND((C11+E11)*(100-Начисления!M11/100)*('Форма 4а'!F72/100),2),0)</f>
        <v>0</v>
      </c>
      <c r="AA11" s="28">
        <f>IF(Определители!I11="9",ROUND((C11+E11)*(Начисления!M11/100)*('Форма 4а'!F75/100),2),0)</f>
        <v>0</v>
      </c>
      <c r="AB11" s="28">
        <f>IF(Определители!I11="9",ROUND((C11+E11)*(100-Начисления!M11/100)*('Форма 4а'!F75/100),2),0)</f>
        <v>0</v>
      </c>
      <c r="AC11" s="28">
        <f>IF(Определители!I11="9",ROUND(B11*Начисления!M11/100,2),0)</f>
        <v>0</v>
      </c>
      <c r="AD11" s="28">
        <f>IF(Определители!I11="9",ROUND(B11*(100-Начисления!M11)/100,2),0)</f>
        <v>0</v>
      </c>
      <c r="AE11" s="28">
        <f>ROUND('Форма 4а'!E62*'Базовые цены за единицу'!AE11,2)</f>
        <v>0</v>
      </c>
      <c r="AH11" s="28">
        <f>ROUND('Форма 4а'!E62*'Базовые цены за единицу'!AH11,2)</f>
        <v>0</v>
      </c>
      <c r="AI11" s="28">
        <f>ROUND('Форма 4а'!E62*'Базовые цены за единицу'!AI11,2)</f>
        <v>0</v>
      </c>
      <c r="AJ11" s="28">
        <f>ROUND('Форма 4а'!E62*'Базовые цены за единицу'!AJ11,2)</f>
        <v>0</v>
      </c>
      <c r="AK11" s="28">
        <f>ROUND('Форма 4а'!E62*'Базовые цены за единицу'!AK11,2)</f>
        <v>0</v>
      </c>
    </row>
    <row r="12" spans="1:37" ht="10.5">
      <c r="A12" s="28"/>
      <c r="B12" s="28">
        <f t="shared" si="0"/>
        <v>10423.73</v>
      </c>
      <c r="C12" s="28">
        <f>ROUND('Форма 4а'!E78*'Базовые цены за единицу'!C12,2)</f>
        <v>0</v>
      </c>
      <c r="D12" s="28">
        <f>ROUND('Форма 4а'!E78*'Базовые цены за единицу'!D12,2)</f>
        <v>0</v>
      </c>
      <c r="E12" s="28">
        <f>ROUND('Форма 4а'!E78*'Базовые цены за единицу'!E12,2)</f>
        <v>0</v>
      </c>
      <c r="F12" s="28">
        <f>ROUND('Форма 4а'!E78*'Базовые цены за единицу'!F12,2)</f>
        <v>10423.73</v>
      </c>
      <c r="G12" s="28">
        <f>ROUND('Форма 4а'!E78*'Базовые цены за единицу'!G12,2)</f>
        <v>0</v>
      </c>
      <c r="H12" s="28">
        <f>ROUND('Форма 4а'!E78*'Базовые цены за единицу'!H12,2)</f>
        <v>0</v>
      </c>
      <c r="I12" s="32">
        <f>ОКРУГЛВСЕ('Форма 4а'!E78*'Базовые цены за единицу'!I12,8)</f>
        <v>0</v>
      </c>
      <c r="J12" s="29">
        <f>ОКРУГЛВСЕ('Форма 4а'!E78*'Базовые цены за единицу'!J12,8)</f>
        <v>0</v>
      </c>
      <c r="K12" s="32">
        <f>ОКРУГЛВСЕ('Форма 4а'!E78*'Базовые цены за единицу'!K12,8)</f>
        <v>0</v>
      </c>
      <c r="L12" s="28">
        <f>ROUND('Форма 4а'!E78*'Базовые цены за единицу'!L12,2)</f>
        <v>0</v>
      </c>
      <c r="M12" s="28">
        <f>ROUND('Форма 4а'!E78*'Базовые цены за единицу'!M12,2)</f>
        <v>0</v>
      </c>
      <c r="N12" s="28">
        <f>ROUND((C12+E12)*'Форма 4а'!F88/100,2)</f>
        <v>0</v>
      </c>
      <c r="O12" s="28">
        <f>ROUND((C12+E12)*'Форма 4а'!F91/100,2)</f>
        <v>0</v>
      </c>
      <c r="P12" s="28">
        <f>ROUND('Форма 4а'!E78*'Базовые цены за единицу'!P12,2)</f>
        <v>0</v>
      </c>
      <c r="Q12" s="28">
        <f>ROUND('Форма 4а'!E78*'Базовые цены за единицу'!Q12,2)</f>
        <v>0</v>
      </c>
      <c r="R12" s="28">
        <f>ROUND('Форма 4а'!E78*'Базовые цены за единицу'!R12,2)</f>
        <v>0</v>
      </c>
      <c r="S12" s="28">
        <f>ROUND('Форма 4а'!E78*'Базовые цены за единицу'!S12,2)</f>
        <v>0</v>
      </c>
      <c r="T12" s="28">
        <f>ROUND('Форма 4а'!E78*'Базовые цены за единицу'!T12,2)</f>
        <v>0</v>
      </c>
      <c r="U12" s="28">
        <f>ROUND('Форма 4а'!E78*'Базовые цены за единицу'!U12,2)</f>
        <v>0</v>
      </c>
      <c r="V12" s="28">
        <f>ROUND('Форма 4а'!E78*'Базовые цены за единицу'!V12,2)</f>
        <v>0</v>
      </c>
      <c r="X12" s="28">
        <f>ROUND('Форма 4а'!E78*'Базовые цены за единицу'!X12,2)</f>
        <v>0</v>
      </c>
      <c r="Y12" s="28">
        <f>IF(Определители!I12="9",ROUND((C12+E12)*(Начисления!M12/100)*('Форма 4а'!F88/100),2),0)</f>
        <v>0</v>
      </c>
      <c r="Z12" s="28">
        <f>IF(Определители!I12="9",ROUND((C12+E12)*(100-Начисления!M12/100)*('Форма 4а'!F88/100),2),0)</f>
        <v>0</v>
      </c>
      <c r="AA12" s="28">
        <f>IF(Определители!I12="9",ROUND((C12+E12)*(Начисления!M12/100)*('Форма 4а'!F91/100),2),0)</f>
        <v>0</v>
      </c>
      <c r="AB12" s="28">
        <f>IF(Определители!I12="9",ROUND((C12+E12)*(100-Начисления!M12/100)*('Форма 4а'!F91/100),2),0)</f>
        <v>0</v>
      </c>
      <c r="AC12" s="28">
        <f>IF(Определители!I12="9",ROUND(B12*Начисления!M12/100,2),0)</f>
        <v>0</v>
      </c>
      <c r="AD12" s="28">
        <f>IF(Определители!I12="9",ROUND(B12*(100-Начисления!M12)/100,2),0)</f>
        <v>0</v>
      </c>
      <c r="AE12" s="28">
        <f>ROUND('Форма 4а'!E78*'Базовые цены за единицу'!AE12,2)</f>
        <v>0</v>
      </c>
      <c r="AH12" s="28">
        <f>ROUND('Форма 4а'!E78*'Базовые цены за единицу'!AH12,2)</f>
        <v>0</v>
      </c>
      <c r="AI12" s="28">
        <f>ROUND('Форма 4а'!E78*'Базовые цены за единицу'!AI12,2)</f>
        <v>0</v>
      </c>
      <c r="AJ12" s="28">
        <f>ROUND('Форма 4а'!E78*'Базовые цены за единицу'!AJ12,2)</f>
        <v>0</v>
      </c>
      <c r="AK12" s="28">
        <f>ROUND('Форма 4а'!E78*'Базовые цены за единицу'!AK12,2)</f>
        <v>0</v>
      </c>
    </row>
    <row r="13" spans="1:37" ht="10.5">
      <c r="A13" s="28"/>
      <c r="B13" s="28">
        <f t="shared" si="0"/>
        <v>375.98</v>
      </c>
      <c r="C13" s="28">
        <f>ROUND('Форма 4а'!E94*'Базовые цены за единицу'!C13,2)</f>
        <v>19.95</v>
      </c>
      <c r="D13" s="28">
        <f>ROUND('Форма 4а'!E94*'Базовые цены за единицу'!D13,2)</f>
        <v>0.17</v>
      </c>
      <c r="E13" s="28">
        <f>ROUND('Форма 4а'!E94*'Базовые цены за единицу'!E13,2)</f>
        <v>0.07</v>
      </c>
      <c r="F13" s="28">
        <f>ROUND('Форма 4а'!E94*'Базовые цены за единицу'!F13,2)</f>
        <v>355.86</v>
      </c>
      <c r="G13" s="28">
        <f>ROUND('Форма 4а'!E94*'Базовые цены за единицу'!G13,2)</f>
        <v>0</v>
      </c>
      <c r="H13" s="28">
        <f>ROUND('Форма 4а'!E94*'Базовые цены за единицу'!H13,2)</f>
        <v>0</v>
      </c>
      <c r="I13" s="32">
        <f>ОКРУГЛВСЕ('Форма 4а'!E94*'Базовые цены за единицу'!I13,8)</f>
        <v>2.3386</v>
      </c>
      <c r="J13" s="29">
        <f>ОКРУГЛВСЕ('Форма 4а'!E94*'Базовые цены за единицу'!J13,8)</f>
        <v>0</v>
      </c>
      <c r="K13" s="32">
        <f>ОКРУГЛВСЕ('Форма 4а'!E94*'Базовые цены за единицу'!K13,8)</f>
        <v>0.0055</v>
      </c>
      <c r="L13" s="28">
        <f>ROUND('Форма 4а'!E94*'Базовые цены за единицу'!L13,2)</f>
        <v>0</v>
      </c>
      <c r="M13" s="28">
        <f>ROUND('Форма 4а'!E94*'Базовые цены за единицу'!M13,2)</f>
        <v>0</v>
      </c>
      <c r="N13" s="28">
        <f>ROUND((C13+E13)*'Форма 4а'!F108/100,2)</f>
        <v>21.26</v>
      </c>
      <c r="O13" s="28">
        <f>ROUND((C13+E13)*'Форма 4а'!F111/100,2)</f>
        <v>10.72</v>
      </c>
      <c r="P13" s="28">
        <f>ROUND('Форма 4а'!E94*'Базовые цены за единицу'!P13,2)</f>
        <v>21.19</v>
      </c>
      <c r="Q13" s="28">
        <f>ROUND('Форма 4а'!E94*'Базовые цены за единицу'!Q13,2)</f>
        <v>0.08</v>
      </c>
      <c r="R13" s="28">
        <f>ROUND('Форма 4а'!E94*'Базовые цены за единицу'!R13,2)</f>
        <v>10.68</v>
      </c>
      <c r="S13" s="28">
        <f>ROUND('Форма 4а'!E94*'Базовые цены за единицу'!S13,2)</f>
        <v>0.04</v>
      </c>
      <c r="T13" s="28">
        <f>ROUND('Форма 4а'!E94*'Базовые цены за единицу'!T13,2)</f>
        <v>0</v>
      </c>
      <c r="U13" s="28">
        <f>ROUND('Форма 4а'!E94*'Базовые цены за единицу'!U13,2)</f>
        <v>0</v>
      </c>
      <c r="V13" s="28">
        <f>ROUND('Форма 4а'!E94*'Базовые цены за единицу'!V13,2)</f>
        <v>0</v>
      </c>
      <c r="X13" s="28">
        <f>ROUND('Форма 4а'!E94*'Базовые цены за единицу'!X13,2)</f>
        <v>0</v>
      </c>
      <c r="Y13" s="28">
        <f>IF(Определители!I13="9",ROUND((C13+E13)*(Начисления!M13/100)*('Форма 4а'!F108/100),2),0)</f>
        <v>0</v>
      </c>
      <c r="Z13" s="28">
        <f>IF(Определители!I13="9",ROUND((C13+E13)*(100-Начисления!M13/100)*('Форма 4а'!F108/100),2),0)</f>
        <v>0</v>
      </c>
      <c r="AA13" s="28">
        <f>IF(Определители!I13="9",ROUND((C13+E13)*(Начисления!M13/100)*('Форма 4а'!F111/100),2),0)</f>
        <v>0</v>
      </c>
      <c r="AB13" s="28">
        <f>IF(Определители!I13="9",ROUND((C13+E13)*(100-Начисления!M13/100)*('Форма 4а'!F111/100),2),0)</f>
        <v>0</v>
      </c>
      <c r="AC13" s="28">
        <f>IF(Определители!I13="9",ROUND(B13*Начисления!M13/100,2),0)</f>
        <v>0</v>
      </c>
      <c r="AD13" s="28">
        <f>IF(Определители!I13="9",ROUND(B13*(100-Начисления!M13)/100,2),0)</f>
        <v>0</v>
      </c>
      <c r="AE13" s="28">
        <f>ROUND('Форма 4а'!E94*'Базовые цены за единицу'!AE13,2)</f>
        <v>0</v>
      </c>
      <c r="AH13" s="28">
        <f>ROUND('Форма 4а'!E94*'Базовые цены за единицу'!AH13,2)</f>
        <v>0</v>
      </c>
      <c r="AI13" s="28">
        <f>ROUND('Форма 4а'!E94*'Базовые цены за единицу'!AI13,2)</f>
        <v>0</v>
      </c>
      <c r="AJ13" s="28">
        <f>ROUND('Форма 4а'!E94*'Базовые цены за единицу'!AJ13,2)</f>
        <v>0</v>
      </c>
      <c r="AK13" s="28">
        <f>ROUND('Форма 4а'!E94*'Базовые цены за единицу'!AK13,2)</f>
        <v>0</v>
      </c>
    </row>
    <row r="14" spans="1:37" ht="10.5">
      <c r="A14" s="28"/>
      <c r="B14" s="28">
        <f t="shared" si="0"/>
        <v>3216.07</v>
      </c>
      <c r="C14" s="28">
        <f>ROUND('Форма 4а'!E116*'Базовые цены за единицу'!C14,2)</f>
        <v>0</v>
      </c>
      <c r="D14" s="28">
        <f>ROUND('Форма 4а'!E116*'Базовые цены за единицу'!D14,2)</f>
        <v>0</v>
      </c>
      <c r="E14" s="28">
        <f>ROUND('Форма 4а'!E116*'Базовые цены за единицу'!E14,2)</f>
        <v>0</v>
      </c>
      <c r="F14" s="28">
        <f>ROUND('Форма 4а'!E116*'Базовые цены за единицу'!F14,2)</f>
        <v>3216.07</v>
      </c>
      <c r="G14" s="28">
        <f>ROUND('Форма 4а'!E116*'Базовые цены за единицу'!G14,2)</f>
        <v>0</v>
      </c>
      <c r="H14" s="28">
        <f>ROUND('Форма 4а'!E116*'Базовые цены за единицу'!H14,2)</f>
        <v>0</v>
      </c>
      <c r="I14" s="32">
        <f>ОКРУГЛВСЕ('Форма 4а'!E116*'Базовые цены за единицу'!I14,8)</f>
        <v>0</v>
      </c>
      <c r="J14" s="29">
        <f>ОКРУГЛВСЕ('Форма 4а'!E116*'Базовые цены за единицу'!J14,8)</f>
        <v>0</v>
      </c>
      <c r="K14" s="32">
        <f>ОКРУГЛВСЕ('Форма 4а'!E116*'Базовые цены за единицу'!K14,8)</f>
        <v>0</v>
      </c>
      <c r="L14" s="28">
        <f>ROUND('Форма 4а'!E116*'Базовые цены за единицу'!L14,2)</f>
        <v>0</v>
      </c>
      <c r="M14" s="28">
        <f>ROUND('Форма 4а'!E116*'Базовые цены за единицу'!M14,2)</f>
        <v>0</v>
      </c>
      <c r="N14" s="28">
        <f>ROUND((C14+E14)*'Форма 4а'!F126/100,2)</f>
        <v>0</v>
      </c>
      <c r="O14" s="28">
        <f>ROUND((C14+E14)*'Форма 4а'!F129/100,2)</f>
        <v>0</v>
      </c>
      <c r="P14" s="28">
        <f>ROUND('Форма 4а'!E116*'Базовые цены за единицу'!P14,2)</f>
        <v>0</v>
      </c>
      <c r="Q14" s="28">
        <f>ROUND('Форма 4а'!E116*'Базовые цены за единицу'!Q14,2)</f>
        <v>0</v>
      </c>
      <c r="R14" s="28">
        <f>ROUND('Форма 4а'!E116*'Базовые цены за единицу'!R14,2)</f>
        <v>0</v>
      </c>
      <c r="S14" s="28">
        <f>ROUND('Форма 4а'!E116*'Базовые цены за единицу'!S14,2)</f>
        <v>0</v>
      </c>
      <c r="T14" s="28">
        <f>ROUND('Форма 4а'!E116*'Базовые цены за единицу'!T14,2)</f>
        <v>0</v>
      </c>
      <c r="U14" s="28">
        <f>ROUND('Форма 4а'!E116*'Базовые цены за единицу'!U14,2)</f>
        <v>0</v>
      </c>
      <c r="V14" s="28">
        <f>ROUND('Форма 4а'!E116*'Базовые цены за единицу'!V14,2)</f>
        <v>0</v>
      </c>
      <c r="X14" s="28">
        <f>ROUND('Форма 4а'!E116*'Базовые цены за единицу'!X14,2)</f>
        <v>0</v>
      </c>
      <c r="Y14" s="28">
        <f>IF(Определители!I14="9",ROUND((C14+E14)*(Начисления!M14/100)*('Форма 4а'!F126/100),2),0)</f>
        <v>0</v>
      </c>
      <c r="Z14" s="28">
        <f>IF(Определители!I14="9",ROUND((C14+E14)*(100-Начисления!M14/100)*('Форма 4а'!F126/100),2),0)</f>
        <v>0</v>
      </c>
      <c r="AA14" s="28">
        <f>IF(Определители!I14="9",ROUND((C14+E14)*(Начисления!M14/100)*('Форма 4а'!F129/100),2),0)</f>
        <v>0</v>
      </c>
      <c r="AB14" s="28">
        <f>IF(Определители!I14="9",ROUND((C14+E14)*(100-Начисления!M14/100)*('Форма 4а'!F129/100),2),0)</f>
        <v>0</v>
      </c>
      <c r="AC14" s="28">
        <f>IF(Определители!I14="9",ROUND(B14*Начисления!M14/100,2),0)</f>
        <v>0</v>
      </c>
      <c r="AD14" s="28">
        <f>IF(Определители!I14="9",ROUND(B14*(100-Начисления!M14)/100,2),0)</f>
        <v>0</v>
      </c>
      <c r="AE14" s="28">
        <f>ROUND('Форма 4а'!E116*'Базовые цены за единицу'!AE14,2)</f>
        <v>0</v>
      </c>
      <c r="AH14" s="28">
        <f>ROUND('Форма 4а'!E116*'Базовые цены за единицу'!AH14,2)</f>
        <v>0</v>
      </c>
      <c r="AI14" s="28">
        <f>ROUND('Форма 4а'!E116*'Базовые цены за единицу'!AI14,2)</f>
        <v>0</v>
      </c>
      <c r="AJ14" s="28">
        <f>ROUND('Форма 4а'!E116*'Базовые цены за единицу'!AJ14,2)</f>
        <v>0</v>
      </c>
      <c r="AK14" s="28">
        <f>ROUND('Форма 4а'!E116*'Базовые цены за единицу'!AK14,2)</f>
        <v>0</v>
      </c>
    </row>
    <row r="15" spans="1:37" ht="10.5">
      <c r="A15" s="28"/>
      <c r="B15" s="28">
        <f t="shared" si="0"/>
        <v>285.7</v>
      </c>
      <c r="C15" s="28">
        <f>ROUND('Форма 4а'!E132*'Базовые цены за единицу'!C15,2)</f>
        <v>28.8</v>
      </c>
      <c r="D15" s="28">
        <f>ROUND('Форма 4а'!E132*'Базовые цены за единицу'!D15,2)</f>
        <v>0</v>
      </c>
      <c r="E15" s="28">
        <f>ROUND('Форма 4а'!E132*'Базовые цены за единицу'!E15,2)</f>
        <v>0</v>
      </c>
      <c r="F15" s="28">
        <f>ROUND('Форма 4а'!E132*'Базовые цены за единицу'!F15,2)</f>
        <v>256.9</v>
      </c>
      <c r="G15" s="28">
        <f>ROUND('Форма 4а'!E132*'Базовые цены за единицу'!G15,2)</f>
        <v>0</v>
      </c>
      <c r="H15" s="28">
        <f>ROUND('Форма 4а'!E132*'Базовые цены за единицу'!H15,2)</f>
        <v>0</v>
      </c>
      <c r="I15" s="32">
        <f>ОКРУГЛВСЕ('Форма 4а'!E132*'Базовые цены за единицу'!I15,8)</f>
        <v>3.1</v>
      </c>
      <c r="J15" s="29">
        <f>ОКРУГЛВСЕ('Форма 4а'!E132*'Базовые цены за единицу'!J15,8)</f>
        <v>0</v>
      </c>
      <c r="K15" s="32">
        <f>ОКРУГЛВСЕ('Форма 4а'!E132*'Базовые цены за единицу'!K15,8)</f>
        <v>0</v>
      </c>
      <c r="L15" s="28">
        <f>ROUND('Форма 4а'!E132*'Базовые цены за единицу'!L15,2)</f>
        <v>0</v>
      </c>
      <c r="M15" s="28">
        <f>ROUND('Форма 4а'!E132*'Базовые цены за единицу'!M15,2)</f>
        <v>0</v>
      </c>
      <c r="N15" s="28">
        <f>ROUND((C15+E15)*'Форма 4а'!F144/100,2)</f>
        <v>27.22</v>
      </c>
      <c r="O15" s="28">
        <f>ROUND((C15+E15)*'Форма 4а'!F147/100,2)</f>
        <v>13.46</v>
      </c>
      <c r="P15" s="28">
        <f>ROUND('Форма 4а'!E132*'Базовые цены за единицу'!P15,2)</f>
        <v>27.22</v>
      </c>
      <c r="Q15" s="28">
        <f>ROUND('Форма 4а'!E132*'Базовые цены за единицу'!Q15,2)</f>
        <v>0</v>
      </c>
      <c r="R15" s="28">
        <f>ROUND('Форма 4а'!E132*'Базовые цены за единицу'!R15,2)</f>
        <v>13.46</v>
      </c>
      <c r="S15" s="28">
        <f>ROUND('Форма 4а'!E132*'Базовые цены за единицу'!S15,2)</f>
        <v>0</v>
      </c>
      <c r="T15" s="28">
        <f>ROUND('Форма 4а'!E132*'Базовые цены за единицу'!T15,2)</f>
        <v>0</v>
      </c>
      <c r="U15" s="28">
        <f>ROUND('Форма 4а'!E132*'Базовые цены за единицу'!U15,2)</f>
        <v>0</v>
      </c>
      <c r="V15" s="28">
        <f>ROUND('Форма 4а'!E132*'Базовые цены за единицу'!V15,2)</f>
        <v>0</v>
      </c>
      <c r="X15" s="28">
        <f>ROUND('Форма 4а'!E132*'Базовые цены за единицу'!X15,2)</f>
        <v>0</v>
      </c>
      <c r="Y15" s="28">
        <f>IF(Определители!I15="9",ROUND((C15+E15)*(Начисления!M15/100)*('Форма 4а'!F144/100),2),0)</f>
        <v>0</v>
      </c>
      <c r="Z15" s="28">
        <f>IF(Определители!I15="9",ROUND((C15+E15)*(100-Начисления!M15/100)*('Форма 4а'!F144/100),2),0)</f>
        <v>0</v>
      </c>
      <c r="AA15" s="28">
        <f>IF(Определители!I15="9",ROUND((C15+E15)*(Начисления!M15/100)*('Форма 4а'!F147/100),2),0)</f>
        <v>0</v>
      </c>
      <c r="AB15" s="28">
        <f>IF(Определители!I15="9",ROUND((C15+E15)*(100-Начисления!M15/100)*('Форма 4а'!F147/100),2),0)</f>
        <v>0</v>
      </c>
      <c r="AC15" s="28">
        <f>IF(Определители!I15="9",ROUND(B15*Начисления!M15/100,2),0)</f>
        <v>0</v>
      </c>
      <c r="AD15" s="28">
        <f>IF(Определители!I15="9",ROUND(B15*(100-Начисления!M15)/100,2),0)</f>
        <v>0</v>
      </c>
      <c r="AE15" s="28">
        <f>ROUND('Форма 4а'!E132*'Базовые цены за единицу'!AE15,2)</f>
        <v>0</v>
      </c>
      <c r="AH15" s="28">
        <f>ROUND('Форма 4а'!E132*'Базовые цены за единицу'!AH15,2)</f>
        <v>0</v>
      </c>
      <c r="AI15" s="28">
        <f>ROUND('Форма 4а'!E132*'Базовые цены за единицу'!AI15,2)</f>
        <v>0</v>
      </c>
      <c r="AJ15" s="28">
        <f>ROUND('Форма 4а'!E132*'Базовые цены за единицу'!AJ15,2)</f>
        <v>0</v>
      </c>
      <c r="AK15" s="28">
        <f>ROUND('Форма 4а'!E132*'Базовые цены за единицу'!AK15,2)</f>
        <v>0</v>
      </c>
    </row>
    <row r="16" spans="1:37" ht="10.5">
      <c r="A16" s="28"/>
      <c r="B16" s="28">
        <f t="shared" si="0"/>
        <v>988.13</v>
      </c>
      <c r="C16" s="28">
        <f>ROUND('Форма 4а'!E152*'Базовые цены за единицу'!C16,2)</f>
        <v>0</v>
      </c>
      <c r="D16" s="28">
        <f>ROUND('Форма 4а'!E152*'Базовые цены за единицу'!D16,2)</f>
        <v>0</v>
      </c>
      <c r="E16" s="28">
        <f>ROUND('Форма 4а'!E152*'Базовые цены за единицу'!E16,2)</f>
        <v>0</v>
      </c>
      <c r="F16" s="28">
        <f>ROUND('Форма 4а'!E152*'Базовые цены за единицу'!F16,2)</f>
        <v>988.13</v>
      </c>
      <c r="G16" s="28">
        <f>ROUND('Форма 4а'!E152*'Базовые цены за единицу'!G16,2)</f>
        <v>0</v>
      </c>
      <c r="H16" s="28">
        <f>ROUND('Форма 4а'!E152*'Базовые цены за единицу'!H16,2)</f>
        <v>0</v>
      </c>
      <c r="I16" s="32">
        <f>ОКРУГЛВСЕ('Форма 4а'!E152*'Базовые цены за единицу'!I16,8)</f>
        <v>0</v>
      </c>
      <c r="J16" s="29">
        <f>ОКРУГЛВСЕ('Форма 4а'!E152*'Базовые цены за единицу'!J16,8)</f>
        <v>0</v>
      </c>
      <c r="K16" s="32">
        <f>ОКРУГЛВСЕ('Форма 4а'!E152*'Базовые цены за единицу'!K16,8)</f>
        <v>0</v>
      </c>
      <c r="L16" s="28">
        <f>ROUND('Форма 4а'!E152*'Базовые цены за единицу'!L16,2)</f>
        <v>0</v>
      </c>
      <c r="M16" s="28">
        <f>ROUND('Форма 4а'!E152*'Базовые цены за единицу'!M16,2)</f>
        <v>0</v>
      </c>
      <c r="N16" s="28">
        <f>ROUND((C16+E16)*'Форма 4а'!F162/100,2)</f>
        <v>0</v>
      </c>
      <c r="O16" s="28">
        <f>ROUND((C16+E16)*'Форма 4а'!F165/100,2)</f>
        <v>0</v>
      </c>
      <c r="P16" s="28">
        <f>ROUND('Форма 4а'!E152*'Базовые цены за единицу'!P16,2)</f>
        <v>0</v>
      </c>
      <c r="Q16" s="28">
        <f>ROUND('Форма 4а'!E152*'Базовые цены за единицу'!Q16,2)</f>
        <v>0</v>
      </c>
      <c r="R16" s="28">
        <f>ROUND('Форма 4а'!E152*'Базовые цены за единицу'!R16,2)</f>
        <v>0</v>
      </c>
      <c r="S16" s="28">
        <f>ROUND('Форма 4а'!E152*'Базовые цены за единицу'!S16,2)</f>
        <v>0</v>
      </c>
      <c r="T16" s="28">
        <f>ROUND('Форма 4а'!E152*'Базовые цены за единицу'!T16,2)</f>
        <v>0</v>
      </c>
      <c r="U16" s="28">
        <f>ROUND('Форма 4а'!E152*'Базовые цены за единицу'!U16,2)</f>
        <v>0</v>
      </c>
      <c r="V16" s="28">
        <f>ROUND('Форма 4а'!E152*'Базовые цены за единицу'!V16,2)</f>
        <v>0</v>
      </c>
      <c r="X16" s="28">
        <f>ROUND('Форма 4а'!E152*'Базовые цены за единицу'!X16,2)</f>
        <v>0</v>
      </c>
      <c r="Y16" s="28">
        <f>IF(Определители!I16="9",ROUND((C16+E16)*(Начисления!M16/100)*('Форма 4а'!F162/100),2),0)</f>
        <v>0</v>
      </c>
      <c r="Z16" s="28">
        <f>IF(Определители!I16="9",ROUND((C16+E16)*(100-Начисления!M16/100)*('Форма 4а'!F162/100),2),0)</f>
        <v>0</v>
      </c>
      <c r="AA16" s="28">
        <f>IF(Определители!I16="9",ROUND((C16+E16)*(Начисления!M16/100)*('Форма 4а'!F165/100),2),0)</f>
        <v>0</v>
      </c>
      <c r="AB16" s="28">
        <f>IF(Определители!I16="9",ROUND((C16+E16)*(100-Начисления!M16/100)*('Форма 4а'!F165/100),2),0)</f>
        <v>0</v>
      </c>
      <c r="AC16" s="28">
        <f>IF(Определители!I16="9",ROUND(B16*Начисления!M16/100,2),0)</f>
        <v>0</v>
      </c>
      <c r="AD16" s="28">
        <f>IF(Определители!I16="9",ROUND(B16*(100-Начисления!M16)/100,2),0)</f>
        <v>0</v>
      </c>
      <c r="AE16" s="28">
        <f>ROUND('Форма 4а'!E152*'Базовые цены за единицу'!AE16,2)</f>
        <v>0</v>
      </c>
      <c r="AH16" s="28">
        <f>ROUND('Форма 4а'!E152*'Базовые цены за единицу'!AH16,2)</f>
        <v>0</v>
      </c>
      <c r="AI16" s="28">
        <f>ROUND('Форма 4а'!E152*'Базовые цены за единицу'!AI16,2)</f>
        <v>0</v>
      </c>
      <c r="AJ16" s="28">
        <f>ROUND('Форма 4а'!E152*'Базовые цены за единицу'!AJ16,2)</f>
        <v>0</v>
      </c>
      <c r="AK16" s="28">
        <f>ROUND('Форма 4а'!E152*'Базовые цены за единицу'!AK16,2)</f>
        <v>0</v>
      </c>
    </row>
  </sheetData>
  <sheetProtection/>
  <mergeCells count="5">
    <mergeCell ref="B7:L8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K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9" customWidth="1"/>
    <col min="2" max="16384" width="9.140625" style="28" customWidth="1"/>
  </cols>
  <sheetData>
    <row r="1" spans="1:37" s="30" customFormat="1" ht="10.5">
      <c r="A1" s="5"/>
      <c r="B1" s="30" t="s">
        <v>139</v>
      </c>
      <c r="C1" s="30" t="s">
        <v>140</v>
      </c>
      <c r="D1" s="30" t="s">
        <v>141</v>
      </c>
      <c r="E1" s="30" t="s">
        <v>142</v>
      </c>
      <c r="F1" s="30" t="s">
        <v>143</v>
      </c>
      <c r="G1" s="30" t="s">
        <v>144</v>
      </c>
      <c r="H1" s="30" t="s">
        <v>145</v>
      </c>
      <c r="I1" s="30" t="s">
        <v>146</v>
      </c>
      <c r="J1" s="30" t="s">
        <v>147</v>
      </c>
      <c r="K1" s="30" t="s">
        <v>148</v>
      </c>
      <c r="L1" s="30" t="s">
        <v>149</v>
      </c>
      <c r="M1" s="30" t="s">
        <v>150</v>
      </c>
      <c r="N1" s="30" t="s">
        <v>151</v>
      </c>
      <c r="O1" s="30" t="s">
        <v>152</v>
      </c>
      <c r="P1" s="30" t="s">
        <v>153</v>
      </c>
      <c r="Q1" s="30" t="s">
        <v>154</v>
      </c>
      <c r="R1" s="30" t="s">
        <v>155</v>
      </c>
      <c r="S1" s="30" t="s">
        <v>156</v>
      </c>
      <c r="T1" s="30" t="s">
        <v>157</v>
      </c>
      <c r="U1" s="30" t="s">
        <v>158</v>
      </c>
      <c r="V1" s="30" t="s">
        <v>159</v>
      </c>
      <c r="X1" s="30" t="s">
        <v>160</v>
      </c>
      <c r="Y1" s="30" t="s">
        <v>161</v>
      </c>
      <c r="Z1" s="30" t="s">
        <v>162</v>
      </c>
      <c r="AA1" s="30" t="s">
        <v>163</v>
      </c>
      <c r="AB1" s="30" t="s">
        <v>164</v>
      </c>
      <c r="AC1" s="30" t="s">
        <v>165</v>
      </c>
      <c r="AD1" s="30" t="s">
        <v>166</v>
      </c>
      <c r="AE1" s="30" t="s">
        <v>167</v>
      </c>
      <c r="AF1" s="30" t="s">
        <v>168</v>
      </c>
      <c r="AG1" s="30" t="s">
        <v>169</v>
      </c>
      <c r="AH1" s="30" t="s">
        <v>170</v>
      </c>
      <c r="AI1" s="30" t="s">
        <v>171</v>
      </c>
      <c r="AJ1" s="30" t="s">
        <v>172</v>
      </c>
      <c r="AK1" s="30" t="s">
        <v>173</v>
      </c>
    </row>
    <row r="2" spans="1:12" ht="10.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0.5">
      <c r="A3" s="31"/>
      <c r="B3" s="50" t="s">
        <v>174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0.5">
      <c r="A4" s="31"/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0.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spans="2:12" ht="10.5">
      <c r="B7" s="42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2" ht="10.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37" ht="10.5">
      <c r="A9" s="28"/>
      <c r="B9" s="28">
        <f aca="true" t="shared" si="0" ref="B9:B16">ROUND(C9+D9+F9+AF9+AG9,2)</f>
        <v>11273.37</v>
      </c>
      <c r="C9" s="28">
        <f>ROUND('Форма 4а'!E23*'Текущие цены за единицу'!C9,2)</f>
        <v>4792.22</v>
      </c>
      <c r="D9" s="28">
        <f>ROUND('Форма 4а'!E23*'Текущие цены за единицу'!D9,2)</f>
        <v>355.19</v>
      </c>
      <c r="E9" s="28">
        <f>ROUND('Форма 4а'!E23*'Текущие цены за единицу'!E9,2)</f>
        <v>190.53</v>
      </c>
      <c r="F9" s="28">
        <f>ROUND('Форма 4а'!E23*'Текущие цены за единицу'!F9,2)</f>
        <v>6125.96</v>
      </c>
      <c r="G9" s="28">
        <f>ROUND('Форма 4а'!E23*'Текущие цены за единицу'!G9,2)</f>
        <v>0</v>
      </c>
      <c r="H9" s="28">
        <f>ROUND('Форма 4а'!E23*'Текущие цены за единицу'!H9,2)</f>
        <v>0</v>
      </c>
      <c r="I9" s="32">
        <f>ОКРУГЛВСЕ('Форма 4а'!E23*'Текущие цены за единицу'!I9,8)</f>
        <v>20.911825</v>
      </c>
      <c r="J9" s="29">
        <f>ОКРУГЛВСЕ('Форма 4а'!E23*'Текущие цены за единицу'!J9,8)</f>
        <v>0</v>
      </c>
      <c r="K9" s="32">
        <f>ОКРУГЛВСЕ('Форма 4а'!E23*'Текущие цены за единицу'!K9,8)</f>
        <v>0.594295</v>
      </c>
      <c r="L9" s="28">
        <f>ROUND('Форма 4а'!E23*'Текущие цены за единицу'!L9,2)</f>
        <v>0</v>
      </c>
      <c r="M9" s="28">
        <f>ROUND('Форма 4а'!E23*'Текущие цены за единицу'!M9,2)</f>
        <v>0</v>
      </c>
      <c r="N9" s="28">
        <f>ROUND((C9+E9)*'Форма 4а'!J38/100,2)</f>
        <v>4497.93</v>
      </c>
      <c r="O9" s="28">
        <f>ROUND((C9+E9)*'Форма 4а'!J41/100,2)</f>
        <v>2134.61</v>
      </c>
      <c r="P9" s="28">
        <f>ROUND('Форма 4а'!E23*'Текущие цены за единицу'!P9,2)</f>
        <v>4325.94</v>
      </c>
      <c r="Q9" s="28">
        <f>ROUND('Форма 4а'!E23*'Текущие цены за единицу'!Q9,2)</f>
        <v>171.99</v>
      </c>
      <c r="R9" s="28">
        <f>ROUND('Форма 4а'!E23*'Текущие цены за единицу'!R9,2)</f>
        <v>2052.99</v>
      </c>
      <c r="S9" s="28">
        <f>ROUND('Форма 4а'!E23*'Текущие цены за единицу'!S9,2)</f>
        <v>81.62</v>
      </c>
      <c r="T9" s="28">
        <f>ROUND('Форма 4а'!E23*'Текущие цены за единицу'!T9,2)</f>
        <v>0</v>
      </c>
      <c r="U9" s="28">
        <f>ROUND('Форма 4а'!E23*'Текущие цены за единицу'!U9,2)</f>
        <v>0</v>
      </c>
      <c r="V9" s="28">
        <f>ROUND('Форма 4а'!E23*'Текущие цены за единицу'!V9,2)</f>
        <v>0</v>
      </c>
      <c r="X9" s="28">
        <f>ROUND('Форма 4а'!E23*'Текущие цены за единицу'!X9,2)</f>
        <v>0</v>
      </c>
      <c r="Y9" s="28">
        <f>IF(Определители!I9="9",ROUND((C9+E9)*(Начисления!M9/100)*('Форма 4а'!J38/100),2),0)</f>
        <v>0</v>
      </c>
      <c r="Z9" s="28">
        <f>IF(Определители!I9="9",ROUND((C9+E9)*(100-Начисления!M9/100)*('Форма 4а'!J38/100),2),0)</f>
        <v>0</v>
      </c>
      <c r="AA9" s="28">
        <f>IF(Определители!I9="9",ROUND((C9+E9)*(Начисления!M9/100)*('Форма 4а'!J41/100),2),0)</f>
        <v>0</v>
      </c>
      <c r="AB9" s="28">
        <f>IF(Определители!I9="9",ROUND((C9+E9)*(100-Начисления!M9/100)*('Форма 4а'!J41/100),2),0)</f>
        <v>0</v>
      </c>
      <c r="AC9" s="28">
        <f>IF(Определители!I9="9",ROUND(B9*Начисления!M9/100,2),0)</f>
        <v>0</v>
      </c>
      <c r="AD9" s="28">
        <f>IF(Определители!I9="9",ROUND(B9*(100-Начисления!M9)/100,2),0)</f>
        <v>0</v>
      </c>
      <c r="AE9" s="28">
        <f>ROUND('Форма 4а'!E23*'Текущие цены за единицу'!AE9,2)</f>
        <v>0</v>
      </c>
      <c r="AH9" s="28">
        <f>ROUND('Форма 4а'!E23*'Текущие цены за единицу'!AH9,2)</f>
        <v>0</v>
      </c>
      <c r="AI9" s="28">
        <f>ROUND('Форма 4а'!E23*'Текущие цены за единицу'!AI9,2)</f>
        <v>0</v>
      </c>
      <c r="AJ9" s="28">
        <f>ROUND('Форма 4а'!E23*'Текущие цены за единицу'!AJ9,2)</f>
        <v>0</v>
      </c>
      <c r="AK9" s="28">
        <f>ROUND('Форма 4а'!E23*'Текущие цены за единицу'!AK9,2)</f>
        <v>0</v>
      </c>
    </row>
    <row r="10" spans="1:37" ht="10.5">
      <c r="A10" s="28"/>
      <c r="B10" s="28">
        <f t="shared" si="0"/>
        <v>45084.76</v>
      </c>
      <c r="C10" s="28">
        <f>ROUND('Форма 4а'!E46*'Текущие цены за единицу'!C10,2)</f>
        <v>0</v>
      </c>
      <c r="D10" s="28">
        <f>ROUND('Форма 4а'!E46*'Текущие цены за единицу'!D10,2)</f>
        <v>0</v>
      </c>
      <c r="E10" s="28">
        <f>ROUND('Форма 4а'!E46*'Текущие цены за единицу'!E10,2)</f>
        <v>0</v>
      </c>
      <c r="F10" s="28">
        <f>ROUND('Форма 4а'!E46*'Текущие цены за единицу'!F10,2)</f>
        <v>45084.76</v>
      </c>
      <c r="G10" s="28">
        <f>ROUND('Форма 4а'!E46*'Текущие цены за единицу'!G10,2)</f>
        <v>0</v>
      </c>
      <c r="H10" s="28">
        <f>ROUND('Форма 4а'!E46*'Текущие цены за единицу'!H10,2)</f>
        <v>0</v>
      </c>
      <c r="I10" s="32">
        <f>ОКРУГЛВСЕ('Форма 4а'!E46*'Текущие цены за единицу'!I10,8)</f>
        <v>0</v>
      </c>
      <c r="J10" s="29">
        <f>ОКРУГЛВСЕ('Форма 4а'!E46*'Текущие цены за единицу'!J10,8)</f>
        <v>0</v>
      </c>
      <c r="K10" s="32">
        <f>ОКРУГЛВСЕ('Форма 4а'!E46*'Текущие цены за единицу'!K10,8)</f>
        <v>0</v>
      </c>
      <c r="L10" s="28">
        <f>ROUND('Форма 4а'!E46*'Текущие цены за единицу'!L10,2)</f>
        <v>0</v>
      </c>
      <c r="M10" s="28">
        <f>ROUND('Форма 4а'!E46*'Текущие цены за единицу'!M10,2)</f>
        <v>0</v>
      </c>
      <c r="N10" s="28">
        <f>ROUND((C10+E10)*'Форма 4а'!J56/100,2)</f>
        <v>0</v>
      </c>
      <c r="O10" s="28">
        <f>ROUND((C10+E10)*'Форма 4а'!J59/100,2)</f>
        <v>0</v>
      </c>
      <c r="P10" s="28">
        <f>ROUND('Форма 4а'!E46*'Текущие цены за единицу'!P10,2)</f>
        <v>0</v>
      </c>
      <c r="Q10" s="28">
        <f>ROUND('Форма 4а'!E46*'Текущие цены за единицу'!Q10,2)</f>
        <v>0</v>
      </c>
      <c r="R10" s="28">
        <f>ROUND('Форма 4а'!E46*'Текущие цены за единицу'!R10,2)</f>
        <v>0</v>
      </c>
      <c r="S10" s="28">
        <f>ROUND('Форма 4а'!E46*'Текущие цены за единицу'!S10,2)</f>
        <v>0</v>
      </c>
      <c r="T10" s="28">
        <f>ROUND('Форма 4а'!E46*'Текущие цены за единицу'!T10,2)</f>
        <v>0</v>
      </c>
      <c r="U10" s="28">
        <f>ROUND('Форма 4а'!E46*'Текущие цены за единицу'!U10,2)</f>
        <v>0</v>
      </c>
      <c r="V10" s="28">
        <f>ROUND('Форма 4а'!E46*'Текущие цены за единицу'!V10,2)</f>
        <v>0</v>
      </c>
      <c r="X10" s="28">
        <f>ROUND('Форма 4а'!E46*'Текущие цены за единицу'!X10,2)</f>
        <v>0</v>
      </c>
      <c r="Y10" s="28">
        <f>IF(Определители!I10="9",ROUND((C10+E10)*(Начисления!M10/100)*('Форма 4а'!J56/100),2),0)</f>
        <v>0</v>
      </c>
      <c r="Z10" s="28">
        <f>IF(Определители!I10="9",ROUND((C10+E10)*(100-Начисления!M10/100)*('Форма 4а'!J56/100),2),0)</f>
        <v>0</v>
      </c>
      <c r="AA10" s="28">
        <f>IF(Определители!I10="9",ROUND((C10+E10)*(Начисления!M10/100)*('Форма 4а'!J59/100),2),0)</f>
        <v>0</v>
      </c>
      <c r="AB10" s="28">
        <f>IF(Определители!I10="9",ROUND((C10+E10)*(100-Начисления!M10/100)*('Форма 4а'!J59/100),2),0)</f>
        <v>0</v>
      </c>
      <c r="AC10" s="28">
        <f>IF(Определители!I10="9",ROUND(B10*Начисления!M10/100,2),0)</f>
        <v>0</v>
      </c>
      <c r="AD10" s="28">
        <f>IF(Определители!I10="9",ROUND(B10*(100-Начисления!M10)/100,2),0)</f>
        <v>0</v>
      </c>
      <c r="AE10" s="28">
        <f>ROUND('Форма 4а'!E46*'Текущие цены за единицу'!AE10,2)</f>
        <v>0</v>
      </c>
      <c r="AH10" s="28">
        <f>ROUND('Форма 4а'!E46*'Текущие цены за единицу'!AH10,2)</f>
        <v>0</v>
      </c>
      <c r="AI10" s="28">
        <f>ROUND('Форма 4а'!E46*'Текущие цены за единицу'!AI10,2)</f>
        <v>0</v>
      </c>
      <c r="AJ10" s="28">
        <f>ROUND('Форма 4а'!E46*'Текущие цены за единицу'!AJ10,2)</f>
        <v>0</v>
      </c>
      <c r="AK10" s="28">
        <f>ROUND('Форма 4а'!E46*'Текущие цены за единицу'!AK10,2)</f>
        <v>0</v>
      </c>
    </row>
    <row r="11" spans="1:37" ht="10.5">
      <c r="A11" s="28"/>
      <c r="B11" s="28">
        <f t="shared" si="0"/>
        <v>21101.7</v>
      </c>
      <c r="C11" s="28">
        <f>ROUND('Форма 4а'!E62*'Текущие цены за единицу'!C11,2)</f>
        <v>0</v>
      </c>
      <c r="D11" s="28">
        <f>ROUND('Форма 4а'!E62*'Текущие цены за единицу'!D11,2)</f>
        <v>0</v>
      </c>
      <c r="E11" s="28">
        <f>ROUND('Форма 4а'!E62*'Текущие цены за единицу'!E11,2)</f>
        <v>0</v>
      </c>
      <c r="F11" s="28">
        <f>ROUND('Форма 4а'!E62*'Текущие цены за единицу'!F11,2)</f>
        <v>21101.7</v>
      </c>
      <c r="G11" s="28">
        <f>ROUND('Форма 4а'!E62*'Текущие цены за единицу'!G11,2)</f>
        <v>0</v>
      </c>
      <c r="H11" s="28">
        <f>ROUND('Форма 4а'!E62*'Текущие цены за единицу'!H11,2)</f>
        <v>0</v>
      </c>
      <c r="I11" s="32">
        <f>ОКРУГЛВСЕ('Форма 4а'!E62*'Текущие цены за единицу'!I11,8)</f>
        <v>0</v>
      </c>
      <c r="J11" s="29">
        <f>ОКРУГЛВСЕ('Форма 4а'!E62*'Текущие цены за единицу'!J11,8)</f>
        <v>0</v>
      </c>
      <c r="K11" s="32">
        <f>ОКРУГЛВСЕ('Форма 4а'!E62*'Текущие цены за единицу'!K11,8)</f>
        <v>0</v>
      </c>
      <c r="L11" s="28">
        <f>ROUND('Форма 4а'!E62*'Текущие цены за единицу'!L11,2)</f>
        <v>0</v>
      </c>
      <c r="M11" s="28">
        <f>ROUND('Форма 4а'!E62*'Текущие цены за единицу'!M11,2)</f>
        <v>0</v>
      </c>
      <c r="N11" s="28">
        <f>ROUND((C11+E11)*'Форма 4а'!J72/100,2)</f>
        <v>0</v>
      </c>
      <c r="O11" s="28">
        <f>ROUND((C11+E11)*'Форма 4а'!J75/100,2)</f>
        <v>0</v>
      </c>
      <c r="P11" s="28">
        <f>ROUND('Форма 4а'!E62*'Текущие цены за единицу'!P11,2)</f>
        <v>0</v>
      </c>
      <c r="Q11" s="28">
        <f>ROUND('Форма 4а'!E62*'Текущие цены за единицу'!Q11,2)</f>
        <v>0</v>
      </c>
      <c r="R11" s="28">
        <f>ROUND('Форма 4а'!E62*'Текущие цены за единицу'!R11,2)</f>
        <v>0</v>
      </c>
      <c r="S11" s="28">
        <f>ROUND('Форма 4а'!E62*'Текущие цены за единицу'!S11,2)</f>
        <v>0</v>
      </c>
      <c r="T11" s="28">
        <f>ROUND('Форма 4а'!E62*'Текущие цены за единицу'!T11,2)</f>
        <v>0</v>
      </c>
      <c r="U11" s="28">
        <f>ROUND('Форма 4а'!E62*'Текущие цены за единицу'!U11,2)</f>
        <v>0</v>
      </c>
      <c r="V11" s="28">
        <f>ROUND('Форма 4а'!E62*'Текущие цены за единицу'!V11,2)</f>
        <v>0</v>
      </c>
      <c r="X11" s="28">
        <f>ROUND('Форма 4а'!E62*'Текущие цены за единицу'!X11,2)</f>
        <v>0</v>
      </c>
      <c r="Y11" s="28">
        <f>IF(Определители!I11="9",ROUND((C11+E11)*(Начисления!M11/100)*('Форма 4а'!J72/100),2),0)</f>
        <v>0</v>
      </c>
      <c r="Z11" s="28">
        <f>IF(Определители!I11="9",ROUND((C11+E11)*(100-Начисления!M11/100)*('Форма 4а'!J72/100),2),0)</f>
        <v>0</v>
      </c>
      <c r="AA11" s="28">
        <f>IF(Определители!I11="9",ROUND((C11+E11)*(Начисления!M11/100)*('Форма 4а'!J75/100),2),0)</f>
        <v>0</v>
      </c>
      <c r="AB11" s="28">
        <f>IF(Определители!I11="9",ROUND((C11+E11)*(100-Начисления!M11/100)*('Форма 4а'!J75/100),2),0)</f>
        <v>0</v>
      </c>
      <c r="AC11" s="28">
        <f>IF(Определители!I11="9",ROUND(B11*Начисления!M11/100,2),0)</f>
        <v>0</v>
      </c>
      <c r="AD11" s="28">
        <f>IF(Определители!I11="9",ROUND(B11*(100-Начисления!M11)/100,2),0)</f>
        <v>0</v>
      </c>
      <c r="AE11" s="28">
        <f>ROUND('Форма 4а'!E62*'Текущие цены за единицу'!AE11,2)</f>
        <v>0</v>
      </c>
      <c r="AH11" s="28">
        <f>ROUND('Форма 4а'!E62*'Текущие цены за единицу'!AH11,2)</f>
        <v>0</v>
      </c>
      <c r="AI11" s="28">
        <f>ROUND('Форма 4а'!E62*'Текущие цены за единицу'!AI11,2)</f>
        <v>0</v>
      </c>
      <c r="AJ11" s="28">
        <f>ROUND('Форма 4а'!E62*'Текущие цены за единицу'!AJ11,2)</f>
        <v>0</v>
      </c>
      <c r="AK11" s="28">
        <f>ROUND('Форма 4а'!E62*'Текущие цены за единицу'!AK11,2)</f>
        <v>0</v>
      </c>
    </row>
    <row r="12" spans="1:37" ht="10.5">
      <c r="A12" s="28"/>
      <c r="B12" s="28">
        <f t="shared" si="0"/>
        <v>10423.73</v>
      </c>
      <c r="C12" s="28">
        <f>ROUND('Форма 4а'!E78*'Текущие цены за единицу'!C12,2)</f>
        <v>0</v>
      </c>
      <c r="D12" s="28">
        <f>ROUND('Форма 4а'!E78*'Текущие цены за единицу'!D12,2)</f>
        <v>0</v>
      </c>
      <c r="E12" s="28">
        <f>ROUND('Форма 4а'!E78*'Текущие цены за единицу'!E12,2)</f>
        <v>0</v>
      </c>
      <c r="F12" s="28">
        <f>ROUND('Форма 4а'!E78*'Текущие цены за единицу'!F12,2)</f>
        <v>10423.73</v>
      </c>
      <c r="G12" s="28">
        <f>ROUND('Форма 4а'!E78*'Текущие цены за единицу'!G12,2)</f>
        <v>0</v>
      </c>
      <c r="H12" s="28">
        <f>ROUND('Форма 4а'!E78*'Текущие цены за единицу'!H12,2)</f>
        <v>0</v>
      </c>
      <c r="I12" s="32">
        <f>ОКРУГЛВСЕ('Форма 4а'!E78*'Текущие цены за единицу'!I12,8)</f>
        <v>0</v>
      </c>
      <c r="J12" s="29">
        <f>ОКРУГЛВСЕ('Форма 4а'!E78*'Текущие цены за единицу'!J12,8)</f>
        <v>0</v>
      </c>
      <c r="K12" s="32">
        <f>ОКРУГЛВСЕ('Форма 4а'!E78*'Текущие цены за единицу'!K12,8)</f>
        <v>0</v>
      </c>
      <c r="L12" s="28">
        <f>ROUND('Форма 4а'!E78*'Текущие цены за единицу'!L12,2)</f>
        <v>0</v>
      </c>
      <c r="M12" s="28">
        <f>ROUND('Форма 4а'!E78*'Текущие цены за единицу'!M12,2)</f>
        <v>0</v>
      </c>
      <c r="N12" s="28">
        <f>ROUND((C12+E12)*'Форма 4а'!J88/100,2)</f>
        <v>0</v>
      </c>
      <c r="O12" s="28">
        <f>ROUND((C12+E12)*'Форма 4а'!J91/100,2)</f>
        <v>0</v>
      </c>
      <c r="P12" s="28">
        <f>ROUND('Форма 4а'!E78*'Текущие цены за единицу'!P12,2)</f>
        <v>0</v>
      </c>
      <c r="Q12" s="28">
        <f>ROUND('Форма 4а'!E78*'Текущие цены за единицу'!Q12,2)</f>
        <v>0</v>
      </c>
      <c r="R12" s="28">
        <f>ROUND('Форма 4а'!E78*'Текущие цены за единицу'!R12,2)</f>
        <v>0</v>
      </c>
      <c r="S12" s="28">
        <f>ROUND('Форма 4а'!E78*'Текущие цены за единицу'!S12,2)</f>
        <v>0</v>
      </c>
      <c r="T12" s="28">
        <f>ROUND('Форма 4а'!E78*'Текущие цены за единицу'!T12,2)</f>
        <v>0</v>
      </c>
      <c r="U12" s="28">
        <f>ROUND('Форма 4а'!E78*'Текущие цены за единицу'!U12,2)</f>
        <v>0</v>
      </c>
      <c r="V12" s="28">
        <f>ROUND('Форма 4а'!E78*'Текущие цены за единицу'!V12,2)</f>
        <v>0</v>
      </c>
      <c r="X12" s="28">
        <f>ROUND('Форма 4а'!E78*'Текущие цены за единицу'!X12,2)</f>
        <v>0</v>
      </c>
      <c r="Y12" s="28">
        <f>IF(Определители!I12="9",ROUND((C12+E12)*(Начисления!M12/100)*('Форма 4а'!J88/100),2),0)</f>
        <v>0</v>
      </c>
      <c r="Z12" s="28">
        <f>IF(Определители!I12="9",ROUND((C12+E12)*(100-Начисления!M12/100)*('Форма 4а'!J88/100),2),0)</f>
        <v>0</v>
      </c>
      <c r="AA12" s="28">
        <f>IF(Определители!I12="9",ROUND((C12+E12)*(Начисления!M12/100)*('Форма 4а'!J91/100),2),0)</f>
        <v>0</v>
      </c>
      <c r="AB12" s="28">
        <f>IF(Определители!I12="9",ROUND((C12+E12)*(100-Начисления!M12/100)*('Форма 4а'!J91/100),2),0)</f>
        <v>0</v>
      </c>
      <c r="AC12" s="28">
        <f>IF(Определители!I12="9",ROUND(B12*Начисления!M12/100,2),0)</f>
        <v>0</v>
      </c>
      <c r="AD12" s="28">
        <f>IF(Определители!I12="9",ROUND(B12*(100-Начисления!M12)/100,2),0)</f>
        <v>0</v>
      </c>
      <c r="AE12" s="28">
        <f>ROUND('Форма 4а'!E78*'Текущие цены за единицу'!AE12,2)</f>
        <v>0</v>
      </c>
      <c r="AH12" s="28">
        <f>ROUND('Форма 4а'!E78*'Текущие цены за единицу'!AH12,2)</f>
        <v>0</v>
      </c>
      <c r="AI12" s="28">
        <f>ROUND('Форма 4а'!E78*'Текущие цены за единицу'!AI12,2)</f>
        <v>0</v>
      </c>
      <c r="AJ12" s="28">
        <f>ROUND('Форма 4а'!E78*'Текущие цены за единицу'!AJ12,2)</f>
        <v>0</v>
      </c>
      <c r="AK12" s="28">
        <f>ROUND('Форма 4а'!E78*'Текущие цены за единицу'!AK12,2)</f>
        <v>0</v>
      </c>
    </row>
    <row r="13" spans="1:37" ht="10.5">
      <c r="A13" s="28"/>
      <c r="B13" s="28">
        <f t="shared" si="0"/>
        <v>2930.53</v>
      </c>
      <c r="C13" s="28">
        <f>ROUND('Форма 4а'!E94*'Текущие цены за единицу'!C13,2)</f>
        <v>523.05</v>
      </c>
      <c r="D13" s="28">
        <f>ROUND('Форма 4а'!E94*'Текущие цены за единицу'!D13,2)</f>
        <v>1.86</v>
      </c>
      <c r="E13" s="28">
        <f>ROUND('Форма 4а'!E94*'Текущие цены за единицу'!E13,2)</f>
        <v>1.96</v>
      </c>
      <c r="F13" s="28">
        <f>ROUND('Форма 4а'!E94*'Текущие цены за единицу'!F13,2)</f>
        <v>2405.62</v>
      </c>
      <c r="G13" s="28">
        <f>ROUND('Форма 4а'!E94*'Текущие цены за единицу'!G13,2)</f>
        <v>0</v>
      </c>
      <c r="H13" s="28">
        <f>ROUND('Форма 4а'!E94*'Текущие цены за единицу'!H13,2)</f>
        <v>0</v>
      </c>
      <c r="I13" s="32">
        <f>ОКРУГЛВСЕ('Форма 4а'!E94*'Текущие цены за единицу'!I13,8)</f>
        <v>2.3386</v>
      </c>
      <c r="J13" s="29">
        <f>ОКРУГЛВСЕ('Форма 4а'!E94*'Текущие цены за единицу'!J13,8)</f>
        <v>0</v>
      </c>
      <c r="K13" s="32">
        <f>ОКРУГЛВСЕ('Форма 4а'!E94*'Текущие цены за единицу'!K13,8)</f>
        <v>0.0055</v>
      </c>
      <c r="L13" s="28">
        <f>ROUND('Форма 4а'!E94*'Текущие цены за единицу'!L13,2)</f>
        <v>0</v>
      </c>
      <c r="M13" s="28">
        <f>ROUND('Форма 4а'!E94*'Текущие цены за единицу'!M13,2)</f>
        <v>0</v>
      </c>
      <c r="N13" s="28">
        <f>ROUND((C13+E13)*'Форма 4а'!J108/100,2)</f>
        <v>473.93</v>
      </c>
      <c r="O13" s="28">
        <f>ROUND((C13+E13)*'Форма 4а'!J111/100,2)</f>
        <v>224.91</v>
      </c>
      <c r="P13" s="28">
        <f>ROUND('Форма 4а'!E94*'Текущие цены за единицу'!P13,2)</f>
        <v>472.16</v>
      </c>
      <c r="Q13" s="28">
        <f>ROUND('Форма 4а'!E94*'Текущие цены за единицу'!Q13,2)</f>
        <v>1.77</v>
      </c>
      <c r="R13" s="28">
        <f>ROUND('Форма 4а'!E94*'Текущие цены за единицу'!R13,2)</f>
        <v>224.07</v>
      </c>
      <c r="S13" s="28">
        <f>ROUND('Форма 4а'!E94*'Текущие цены за единицу'!S13,2)</f>
        <v>0.84</v>
      </c>
      <c r="T13" s="28">
        <f>ROUND('Форма 4а'!E94*'Текущие цены за единицу'!T13,2)</f>
        <v>0</v>
      </c>
      <c r="U13" s="28">
        <f>ROUND('Форма 4а'!E94*'Текущие цены за единицу'!U13,2)</f>
        <v>0</v>
      </c>
      <c r="V13" s="28">
        <f>ROUND('Форма 4а'!E94*'Текущие цены за единицу'!V13,2)</f>
        <v>0</v>
      </c>
      <c r="X13" s="28">
        <f>ROUND('Форма 4а'!E94*'Текущие цены за единицу'!X13,2)</f>
        <v>0</v>
      </c>
      <c r="Y13" s="28">
        <f>IF(Определители!I13="9",ROUND((C13+E13)*(Начисления!M13/100)*('Форма 4а'!J108/100),2),0)</f>
        <v>0</v>
      </c>
      <c r="Z13" s="28">
        <f>IF(Определители!I13="9",ROUND((C13+E13)*(100-Начисления!M13/100)*('Форма 4а'!J108/100),2),0)</f>
        <v>0</v>
      </c>
      <c r="AA13" s="28">
        <f>IF(Определители!I13="9",ROUND((C13+E13)*(Начисления!M13/100)*('Форма 4а'!J111/100),2),0)</f>
        <v>0</v>
      </c>
      <c r="AB13" s="28">
        <f>IF(Определители!I13="9",ROUND((C13+E13)*(100-Начисления!M13/100)*('Форма 4а'!J111/100),2),0)</f>
        <v>0</v>
      </c>
      <c r="AC13" s="28">
        <f>IF(Определители!I13="9",ROUND(B13*Начисления!M13/100,2),0)</f>
        <v>0</v>
      </c>
      <c r="AD13" s="28">
        <f>IF(Определители!I13="9",ROUND(B13*(100-Начисления!M13)/100,2),0)</f>
        <v>0</v>
      </c>
      <c r="AE13" s="28">
        <f>ROUND('Форма 4а'!E94*'Текущие цены за единицу'!AE13,2)</f>
        <v>0</v>
      </c>
      <c r="AH13" s="28">
        <f>ROUND('Форма 4а'!E94*'Текущие цены за единицу'!AH13,2)</f>
        <v>0</v>
      </c>
      <c r="AI13" s="28">
        <f>ROUND('Форма 4а'!E94*'Текущие цены за единицу'!AI13,2)</f>
        <v>0</v>
      </c>
      <c r="AJ13" s="28">
        <f>ROUND('Форма 4а'!E94*'Текущие цены за единицу'!AJ13,2)</f>
        <v>0</v>
      </c>
      <c r="AK13" s="28">
        <f>ROUND('Форма 4а'!E94*'Текущие цены за единицу'!AK13,2)</f>
        <v>0</v>
      </c>
    </row>
    <row r="14" spans="1:37" ht="10.5">
      <c r="A14" s="28"/>
      <c r="B14" s="28">
        <f t="shared" si="0"/>
        <v>3216.07</v>
      </c>
      <c r="C14" s="28">
        <f>ROUND('Форма 4а'!E116*'Текущие цены за единицу'!C14,2)</f>
        <v>0</v>
      </c>
      <c r="D14" s="28">
        <f>ROUND('Форма 4а'!E116*'Текущие цены за единицу'!D14,2)</f>
        <v>0</v>
      </c>
      <c r="E14" s="28">
        <f>ROUND('Форма 4а'!E116*'Текущие цены за единицу'!E14,2)</f>
        <v>0</v>
      </c>
      <c r="F14" s="28">
        <f>ROUND('Форма 4а'!E116*'Текущие цены за единицу'!F14,2)</f>
        <v>3216.07</v>
      </c>
      <c r="G14" s="28">
        <f>ROUND('Форма 4а'!E116*'Текущие цены за единицу'!G14,2)</f>
        <v>0</v>
      </c>
      <c r="H14" s="28">
        <f>ROUND('Форма 4а'!E116*'Текущие цены за единицу'!H14,2)</f>
        <v>0</v>
      </c>
      <c r="I14" s="32">
        <f>ОКРУГЛВСЕ('Форма 4а'!E116*'Текущие цены за единицу'!I14,8)</f>
        <v>0</v>
      </c>
      <c r="J14" s="29">
        <f>ОКРУГЛВСЕ('Форма 4а'!E116*'Текущие цены за единицу'!J14,8)</f>
        <v>0</v>
      </c>
      <c r="K14" s="32">
        <f>ОКРУГЛВСЕ('Форма 4а'!E116*'Текущие цены за единицу'!K14,8)</f>
        <v>0</v>
      </c>
      <c r="L14" s="28">
        <f>ROUND('Форма 4а'!E116*'Текущие цены за единицу'!L14,2)</f>
        <v>0</v>
      </c>
      <c r="M14" s="28">
        <f>ROUND('Форма 4а'!E116*'Текущие цены за единицу'!M14,2)</f>
        <v>0</v>
      </c>
      <c r="N14" s="28">
        <f>ROUND((C14+E14)*'Форма 4а'!J126/100,2)</f>
        <v>0</v>
      </c>
      <c r="O14" s="28">
        <f>ROUND((C14+E14)*'Форма 4а'!J129/100,2)</f>
        <v>0</v>
      </c>
      <c r="P14" s="28">
        <f>ROUND('Форма 4а'!E116*'Текущие цены за единицу'!P14,2)</f>
        <v>0</v>
      </c>
      <c r="Q14" s="28">
        <f>ROUND('Форма 4а'!E116*'Текущие цены за единицу'!Q14,2)</f>
        <v>0</v>
      </c>
      <c r="R14" s="28">
        <f>ROUND('Форма 4а'!E116*'Текущие цены за единицу'!R14,2)</f>
        <v>0</v>
      </c>
      <c r="S14" s="28">
        <f>ROUND('Форма 4а'!E116*'Текущие цены за единицу'!S14,2)</f>
        <v>0</v>
      </c>
      <c r="T14" s="28">
        <f>ROUND('Форма 4а'!E116*'Текущие цены за единицу'!T14,2)</f>
        <v>0</v>
      </c>
      <c r="U14" s="28">
        <f>ROUND('Форма 4а'!E116*'Текущие цены за единицу'!U14,2)</f>
        <v>0</v>
      </c>
      <c r="V14" s="28">
        <f>ROUND('Форма 4а'!E116*'Текущие цены за единицу'!V14,2)</f>
        <v>0</v>
      </c>
      <c r="X14" s="28">
        <f>ROUND('Форма 4а'!E116*'Текущие цены за единицу'!X14,2)</f>
        <v>0</v>
      </c>
      <c r="Y14" s="28">
        <f>IF(Определители!I14="9",ROUND((C14+E14)*(Начисления!M14/100)*('Форма 4а'!J126/100),2),0)</f>
        <v>0</v>
      </c>
      <c r="Z14" s="28">
        <f>IF(Определители!I14="9",ROUND((C14+E14)*(100-Начисления!M14/100)*('Форма 4а'!J126/100),2),0)</f>
        <v>0</v>
      </c>
      <c r="AA14" s="28">
        <f>IF(Определители!I14="9",ROUND((C14+E14)*(Начисления!M14/100)*('Форма 4а'!J129/100),2),0)</f>
        <v>0</v>
      </c>
      <c r="AB14" s="28">
        <f>IF(Определители!I14="9",ROUND((C14+E14)*(100-Начисления!M14/100)*('Форма 4а'!J129/100),2),0)</f>
        <v>0</v>
      </c>
      <c r="AC14" s="28">
        <f>IF(Определители!I14="9",ROUND(B14*Начисления!M14/100,2),0)</f>
        <v>0</v>
      </c>
      <c r="AD14" s="28">
        <f>IF(Определители!I14="9",ROUND(B14*(100-Начисления!M14)/100,2),0)</f>
        <v>0</v>
      </c>
      <c r="AE14" s="28">
        <f>ROUND('Форма 4а'!E116*'Текущие цены за единицу'!AE14,2)</f>
        <v>0</v>
      </c>
      <c r="AH14" s="28">
        <f>ROUND('Форма 4а'!E116*'Текущие цены за единицу'!AH14,2)</f>
        <v>0</v>
      </c>
      <c r="AI14" s="28">
        <f>ROUND('Форма 4а'!E116*'Текущие цены за единицу'!AI14,2)</f>
        <v>0</v>
      </c>
      <c r="AJ14" s="28">
        <f>ROUND('Форма 4а'!E116*'Текущие цены за единицу'!AJ14,2)</f>
        <v>0</v>
      </c>
      <c r="AK14" s="28">
        <f>ROUND('Форма 4а'!E116*'Текущие цены за единицу'!AK14,2)</f>
        <v>0</v>
      </c>
    </row>
    <row r="15" spans="1:37" ht="10.5">
      <c r="A15" s="28"/>
      <c r="B15" s="28">
        <f t="shared" si="0"/>
        <v>2568.86</v>
      </c>
      <c r="C15" s="28">
        <f>ROUND('Форма 4а'!E132*'Текущие цены за единицу'!C15,2)</f>
        <v>755.14</v>
      </c>
      <c r="D15" s="28">
        <f>ROUND('Форма 4а'!E132*'Текущие цены за единицу'!D15,2)</f>
        <v>0</v>
      </c>
      <c r="E15" s="28">
        <f>ROUND('Форма 4а'!E132*'Текущие цены за единицу'!E15,2)</f>
        <v>0</v>
      </c>
      <c r="F15" s="28">
        <f>ROUND('Форма 4а'!E132*'Текущие цены за единицу'!F15,2)</f>
        <v>1813.72</v>
      </c>
      <c r="G15" s="28">
        <f>ROUND('Форма 4а'!E132*'Текущие цены за единицу'!G15,2)</f>
        <v>0</v>
      </c>
      <c r="H15" s="28">
        <f>ROUND('Форма 4а'!E132*'Текущие цены за единицу'!H15,2)</f>
        <v>0</v>
      </c>
      <c r="I15" s="32">
        <f>ОКРУГЛВСЕ('Форма 4а'!E132*'Текущие цены за единицу'!I15,8)</f>
        <v>3.1</v>
      </c>
      <c r="J15" s="29">
        <f>ОКРУГЛВСЕ('Форма 4а'!E132*'Текущие цены за единицу'!J15,8)</f>
        <v>0</v>
      </c>
      <c r="K15" s="32">
        <f>ОКРУГЛВСЕ('Форма 4а'!E132*'Текущие цены за единицу'!K15,8)</f>
        <v>0</v>
      </c>
      <c r="L15" s="28">
        <f>ROUND('Форма 4а'!E132*'Текущие цены за единицу'!L15,2)</f>
        <v>0</v>
      </c>
      <c r="M15" s="28">
        <f>ROUND('Форма 4а'!E132*'Текущие цены за единицу'!M15,2)</f>
        <v>0</v>
      </c>
      <c r="N15" s="28">
        <f>ROUND((C15+E15)*'Форма 4а'!J144/100,2)</f>
        <v>606.6</v>
      </c>
      <c r="O15" s="28">
        <f>ROUND((C15+E15)*'Форма 4а'!J147/100,2)</f>
        <v>282.42</v>
      </c>
      <c r="P15" s="28">
        <f>ROUND('Форма 4а'!E132*'Текущие цены за единицу'!P15,2)</f>
        <v>606.6</v>
      </c>
      <c r="Q15" s="28">
        <f>ROUND('Форма 4а'!E132*'Текущие цены за единицу'!Q15,2)</f>
        <v>0</v>
      </c>
      <c r="R15" s="28">
        <f>ROUND('Форма 4а'!E132*'Текущие цены за единицу'!R15,2)</f>
        <v>282.42</v>
      </c>
      <c r="S15" s="28">
        <f>ROUND('Форма 4а'!E132*'Текущие цены за единицу'!S15,2)</f>
        <v>0</v>
      </c>
      <c r="T15" s="28">
        <f>ROUND('Форма 4а'!E132*'Текущие цены за единицу'!T15,2)</f>
        <v>0</v>
      </c>
      <c r="U15" s="28">
        <f>ROUND('Форма 4а'!E132*'Текущие цены за единицу'!U15,2)</f>
        <v>0</v>
      </c>
      <c r="V15" s="28">
        <f>ROUND('Форма 4а'!E132*'Текущие цены за единицу'!V15,2)</f>
        <v>0</v>
      </c>
      <c r="X15" s="28">
        <f>ROUND('Форма 4а'!E132*'Текущие цены за единицу'!X15,2)</f>
        <v>0</v>
      </c>
      <c r="Y15" s="28">
        <f>IF(Определители!I15="9",ROUND((C15+E15)*(Начисления!M15/100)*('Форма 4а'!J144/100),2),0)</f>
        <v>0</v>
      </c>
      <c r="Z15" s="28">
        <f>IF(Определители!I15="9",ROUND((C15+E15)*(100-Начисления!M15/100)*('Форма 4а'!J144/100),2),0)</f>
        <v>0</v>
      </c>
      <c r="AA15" s="28">
        <f>IF(Определители!I15="9",ROUND((C15+E15)*(Начисления!M15/100)*('Форма 4а'!J147/100),2),0)</f>
        <v>0</v>
      </c>
      <c r="AB15" s="28">
        <f>IF(Определители!I15="9",ROUND((C15+E15)*(100-Начисления!M15/100)*('Форма 4а'!J147/100),2),0)</f>
        <v>0</v>
      </c>
      <c r="AC15" s="28">
        <f>IF(Определители!I15="9",ROUND(B15*Начисления!M15/100,2),0)</f>
        <v>0</v>
      </c>
      <c r="AD15" s="28">
        <f>IF(Определители!I15="9",ROUND(B15*(100-Начисления!M15)/100,2),0)</f>
        <v>0</v>
      </c>
      <c r="AE15" s="28">
        <f>ROUND('Форма 4а'!E132*'Текущие цены за единицу'!AE15,2)</f>
        <v>0</v>
      </c>
      <c r="AH15" s="28">
        <f>ROUND('Форма 4а'!E132*'Текущие цены за единицу'!AH15,2)</f>
        <v>0</v>
      </c>
      <c r="AI15" s="28">
        <f>ROUND('Форма 4а'!E132*'Текущие цены за единицу'!AI15,2)</f>
        <v>0</v>
      </c>
      <c r="AJ15" s="28">
        <f>ROUND('Форма 4а'!E132*'Текущие цены за единицу'!AJ15,2)</f>
        <v>0</v>
      </c>
      <c r="AK15" s="28">
        <f>ROUND('Форма 4а'!E132*'Текущие цены за единицу'!AK15,2)</f>
        <v>0</v>
      </c>
    </row>
    <row r="16" spans="1:37" ht="10.5">
      <c r="A16" s="28"/>
      <c r="B16" s="28">
        <f t="shared" si="0"/>
        <v>988.13</v>
      </c>
      <c r="C16" s="28">
        <f>ROUND('Форма 4а'!E152*'Текущие цены за единицу'!C16,2)</f>
        <v>0</v>
      </c>
      <c r="D16" s="28">
        <f>ROUND('Форма 4а'!E152*'Текущие цены за единицу'!D16,2)</f>
        <v>0</v>
      </c>
      <c r="E16" s="28">
        <f>ROUND('Форма 4а'!E152*'Текущие цены за единицу'!E16,2)</f>
        <v>0</v>
      </c>
      <c r="F16" s="28">
        <f>ROUND('Форма 4а'!E152*'Текущие цены за единицу'!F16,2)</f>
        <v>988.13</v>
      </c>
      <c r="G16" s="28">
        <f>ROUND('Форма 4а'!E152*'Текущие цены за единицу'!G16,2)</f>
        <v>0</v>
      </c>
      <c r="H16" s="28">
        <f>ROUND('Форма 4а'!E152*'Текущие цены за единицу'!H16,2)</f>
        <v>0</v>
      </c>
      <c r="I16" s="32">
        <f>ОКРУГЛВСЕ('Форма 4а'!E152*'Текущие цены за единицу'!I16,8)</f>
        <v>0</v>
      </c>
      <c r="J16" s="29">
        <f>ОКРУГЛВСЕ('Форма 4а'!E152*'Текущие цены за единицу'!J16,8)</f>
        <v>0</v>
      </c>
      <c r="K16" s="32">
        <f>ОКРУГЛВСЕ('Форма 4а'!E152*'Текущие цены за единицу'!K16,8)</f>
        <v>0</v>
      </c>
      <c r="L16" s="28">
        <f>ROUND('Форма 4а'!E152*'Текущие цены за единицу'!L16,2)</f>
        <v>0</v>
      </c>
      <c r="M16" s="28">
        <f>ROUND('Форма 4а'!E152*'Текущие цены за единицу'!M16,2)</f>
        <v>0</v>
      </c>
      <c r="N16" s="28">
        <f>ROUND((C16+E16)*'Форма 4а'!J162/100,2)</f>
        <v>0</v>
      </c>
      <c r="O16" s="28">
        <f>ROUND((C16+E16)*'Форма 4а'!J165/100,2)</f>
        <v>0</v>
      </c>
      <c r="P16" s="28">
        <f>ROUND('Форма 4а'!E152*'Текущие цены за единицу'!P16,2)</f>
        <v>0</v>
      </c>
      <c r="Q16" s="28">
        <f>ROUND('Форма 4а'!E152*'Текущие цены за единицу'!Q16,2)</f>
        <v>0</v>
      </c>
      <c r="R16" s="28">
        <f>ROUND('Форма 4а'!E152*'Текущие цены за единицу'!R16,2)</f>
        <v>0</v>
      </c>
      <c r="S16" s="28">
        <f>ROUND('Форма 4а'!E152*'Текущие цены за единицу'!S16,2)</f>
        <v>0</v>
      </c>
      <c r="T16" s="28">
        <f>ROUND('Форма 4а'!E152*'Текущие цены за единицу'!T16,2)</f>
        <v>0</v>
      </c>
      <c r="U16" s="28">
        <f>ROUND('Форма 4а'!E152*'Текущие цены за единицу'!U16,2)</f>
        <v>0</v>
      </c>
      <c r="V16" s="28">
        <f>ROUND('Форма 4а'!E152*'Текущие цены за единицу'!V16,2)</f>
        <v>0</v>
      </c>
      <c r="X16" s="28">
        <f>ROUND('Форма 4а'!E152*'Текущие цены за единицу'!X16,2)</f>
        <v>0</v>
      </c>
      <c r="Y16" s="28">
        <f>IF(Определители!I16="9",ROUND((C16+E16)*(Начисления!M16/100)*('Форма 4а'!J162/100),2),0)</f>
        <v>0</v>
      </c>
      <c r="Z16" s="28">
        <f>IF(Определители!I16="9",ROUND((C16+E16)*(100-Начисления!M16/100)*('Форма 4а'!J162/100),2),0)</f>
        <v>0</v>
      </c>
      <c r="AA16" s="28">
        <f>IF(Определители!I16="9",ROUND((C16+E16)*(Начисления!M16/100)*('Форма 4а'!J165/100),2),0)</f>
        <v>0</v>
      </c>
      <c r="AB16" s="28">
        <f>IF(Определители!I16="9",ROUND((C16+E16)*(100-Начисления!M16/100)*('Форма 4а'!J165/100),2),0)</f>
        <v>0</v>
      </c>
      <c r="AC16" s="28">
        <f>IF(Определители!I16="9",ROUND(B16*Начисления!M16/100,2),0)</f>
        <v>0</v>
      </c>
      <c r="AD16" s="28">
        <f>IF(Определители!I16="9",ROUND(B16*(100-Начисления!M16)/100,2),0)</f>
        <v>0</v>
      </c>
      <c r="AE16" s="28">
        <f>ROUND('Форма 4а'!E152*'Текущие цены за единицу'!AE16,2)</f>
        <v>0</v>
      </c>
      <c r="AH16" s="28">
        <f>ROUND('Форма 4а'!E152*'Текущие цены за единицу'!AH16,2)</f>
        <v>0</v>
      </c>
      <c r="AI16" s="28">
        <f>ROUND('Форма 4а'!E152*'Текущие цены за единицу'!AI16,2)</f>
        <v>0</v>
      </c>
      <c r="AJ16" s="28">
        <f>ROUND('Форма 4а'!E152*'Текущие цены за единицу'!AJ16,2)</f>
        <v>0</v>
      </c>
      <c r="AK16" s="28">
        <f>ROUND('Форма 4а'!E152*'Текущие цены за единицу'!AK16,2)</f>
        <v>0</v>
      </c>
    </row>
  </sheetData>
  <sheetProtection/>
  <mergeCells count="5">
    <mergeCell ref="B7:L8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X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9" customWidth="1"/>
    <col min="2" max="16384" width="9.140625" style="28" customWidth="1"/>
  </cols>
  <sheetData>
    <row r="1" spans="1:50" s="30" customFormat="1" ht="10.5">
      <c r="A1" s="5"/>
      <c r="B1" s="30" t="s">
        <v>176</v>
      </c>
      <c r="C1" s="30" t="s">
        <v>177</v>
      </c>
      <c r="D1" s="30" t="s">
        <v>178</v>
      </c>
      <c r="E1" s="30" t="s">
        <v>179</v>
      </c>
      <c r="F1" s="30" t="s">
        <v>180</v>
      </c>
      <c r="G1" s="30" t="s">
        <v>181</v>
      </c>
      <c r="H1" s="30" t="s">
        <v>182</v>
      </c>
      <c r="I1" s="30" t="s">
        <v>183</v>
      </c>
      <c r="J1" s="30" t="s">
        <v>184</v>
      </c>
      <c r="K1" s="30" t="s">
        <v>185</v>
      </c>
      <c r="L1" s="30" t="s">
        <v>186</v>
      </c>
      <c r="M1" s="30" t="s">
        <v>187</v>
      </c>
      <c r="N1" s="30" t="s">
        <v>188</v>
      </c>
      <c r="O1" s="30" t="s">
        <v>189</v>
      </c>
      <c r="P1" s="30" t="s">
        <v>190</v>
      </c>
      <c r="Q1" s="30" t="s">
        <v>191</v>
      </c>
      <c r="R1" s="30" t="s">
        <v>192</v>
      </c>
      <c r="S1" s="30" t="s">
        <v>193</v>
      </c>
      <c r="T1" s="30" t="s">
        <v>194</v>
      </c>
      <c r="U1" s="30" t="s">
        <v>195</v>
      </c>
      <c r="V1" s="30" t="s">
        <v>196</v>
      </c>
      <c r="W1" s="30" t="s">
        <v>197</v>
      </c>
      <c r="X1" s="30" t="s">
        <v>198</v>
      </c>
      <c r="Y1" s="30" t="s">
        <v>199</v>
      </c>
      <c r="Z1" s="30" t="s">
        <v>200</v>
      </c>
      <c r="AA1" s="30" t="s">
        <v>201</v>
      </c>
      <c r="AB1" s="30" t="s">
        <v>202</v>
      </c>
      <c r="AC1" s="30" t="s">
        <v>203</v>
      </c>
      <c r="AD1" s="30" t="s">
        <v>204</v>
      </c>
      <c r="AE1" s="30" t="s">
        <v>205</v>
      </c>
      <c r="AF1" s="30" t="s">
        <v>206</v>
      </c>
      <c r="AG1" s="30" t="s">
        <v>207</v>
      </c>
      <c r="AH1" s="30" t="s">
        <v>208</v>
      </c>
      <c r="AI1" s="30" t="s">
        <v>209</v>
      </c>
      <c r="AJ1" s="30" t="s">
        <v>210</v>
      </c>
      <c r="AK1" s="30" t="s">
        <v>211</v>
      </c>
      <c r="AL1" s="30" t="s">
        <v>212</v>
      </c>
      <c r="AM1" s="30" t="s">
        <v>213</v>
      </c>
      <c r="AN1" s="30" t="s">
        <v>214</v>
      </c>
      <c r="AO1" s="30" t="s">
        <v>215</v>
      </c>
      <c r="AP1" s="30" t="s">
        <v>216</v>
      </c>
      <c r="AQ1" s="30" t="s">
        <v>217</v>
      </c>
      <c r="AR1" s="30" t="s">
        <v>218</v>
      </c>
      <c r="AS1" s="30" t="s">
        <v>219</v>
      </c>
      <c r="AT1" s="30" t="s">
        <v>220</v>
      </c>
      <c r="AU1" s="30" t="s">
        <v>221</v>
      </c>
      <c r="AV1" s="30" t="s">
        <v>222</v>
      </c>
      <c r="AW1" s="30" t="s">
        <v>223</v>
      </c>
      <c r="AX1" s="30" t="s">
        <v>224</v>
      </c>
    </row>
    <row r="2" spans="1:12" ht="10.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0.5">
      <c r="A3" s="31"/>
      <c r="B3" s="50" t="s">
        <v>174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0.5">
      <c r="A4" s="31"/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0.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spans="2:12" ht="10.5">
      <c r="B7" s="42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2" ht="10.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2:50" ht="10.5">
      <c r="B9" s="29">
        <v>1</v>
      </c>
      <c r="C9" s="29">
        <v>1</v>
      </c>
      <c r="D9" s="29">
        <v>1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0</v>
      </c>
      <c r="L9" s="29">
        <v>0</v>
      </c>
      <c r="M9" s="29">
        <v>100</v>
      </c>
      <c r="N9" s="29">
        <v>0</v>
      </c>
      <c r="O9" s="29">
        <v>0</v>
      </c>
      <c r="P9" s="29">
        <v>1</v>
      </c>
      <c r="Q9" s="29">
        <v>1</v>
      </c>
      <c r="R9" s="29">
        <v>0</v>
      </c>
      <c r="S9" s="29">
        <v>0</v>
      </c>
      <c r="T9" s="29">
        <v>1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1.7</v>
      </c>
      <c r="AH9" s="29">
        <v>1.6</v>
      </c>
      <c r="AI9" s="29">
        <v>1.29</v>
      </c>
      <c r="AJ9" s="29">
        <v>0.092</v>
      </c>
      <c r="AK9" s="29">
        <v>0.18</v>
      </c>
      <c r="AL9" s="29">
        <v>1</v>
      </c>
      <c r="AM9" s="29">
        <v>1</v>
      </c>
      <c r="AN9" s="29">
        <v>0.2</v>
      </c>
      <c r="AO9" s="29">
        <v>1.5</v>
      </c>
      <c r="AP9" s="29">
        <v>1</v>
      </c>
      <c r="AQ9" s="29">
        <v>1</v>
      </c>
      <c r="AR9" s="29">
        <v>1</v>
      </c>
      <c r="AS9" s="29">
        <v>1</v>
      </c>
      <c r="AT9" s="29">
        <v>1</v>
      </c>
      <c r="AU9" s="29">
        <v>100</v>
      </c>
      <c r="AV9" s="29">
        <v>1</v>
      </c>
      <c r="AW9" s="29">
        <v>1</v>
      </c>
      <c r="AX9" s="29">
        <v>1</v>
      </c>
    </row>
    <row r="10" spans="2:50" ht="10.5"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0</v>
      </c>
      <c r="L10" s="29">
        <v>0</v>
      </c>
      <c r="M10" s="29">
        <v>100</v>
      </c>
      <c r="N10" s="29">
        <v>0</v>
      </c>
      <c r="O10" s="29">
        <v>0</v>
      </c>
      <c r="P10" s="29">
        <v>1</v>
      </c>
      <c r="Q10" s="29">
        <v>1</v>
      </c>
      <c r="R10" s="29">
        <v>0</v>
      </c>
      <c r="S10" s="29">
        <v>0</v>
      </c>
      <c r="T10" s="29">
        <v>1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1.7</v>
      </c>
      <c r="AH10" s="29">
        <v>1.6</v>
      </c>
      <c r="AI10" s="29">
        <v>1.29</v>
      </c>
      <c r="AJ10" s="29">
        <v>0.092</v>
      </c>
      <c r="AK10" s="29">
        <v>0.18</v>
      </c>
      <c r="AL10" s="29">
        <v>1</v>
      </c>
      <c r="AM10" s="29">
        <v>1</v>
      </c>
      <c r="AN10" s="29">
        <v>0.2</v>
      </c>
      <c r="AO10" s="29">
        <v>1.5</v>
      </c>
      <c r="AP10" s="29">
        <v>1</v>
      </c>
      <c r="AQ10" s="29">
        <v>1</v>
      </c>
      <c r="AR10" s="29">
        <v>1</v>
      </c>
      <c r="AS10" s="29">
        <v>1</v>
      </c>
      <c r="AT10" s="29">
        <v>1</v>
      </c>
      <c r="AU10" s="29">
        <v>100</v>
      </c>
      <c r="AV10" s="29">
        <v>1</v>
      </c>
      <c r="AW10" s="29">
        <v>1</v>
      </c>
      <c r="AX10" s="29">
        <v>1</v>
      </c>
    </row>
    <row r="11" spans="2:50" ht="10.5">
      <c r="B11" s="29">
        <v>1</v>
      </c>
      <c r="C11" s="29">
        <v>1</v>
      </c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0</v>
      </c>
      <c r="L11" s="29">
        <v>0</v>
      </c>
      <c r="M11" s="29">
        <v>100</v>
      </c>
      <c r="N11" s="29">
        <v>0</v>
      </c>
      <c r="O11" s="29">
        <v>0</v>
      </c>
      <c r="P11" s="29">
        <v>1</v>
      </c>
      <c r="Q11" s="29">
        <v>1</v>
      </c>
      <c r="R11" s="29">
        <v>0</v>
      </c>
      <c r="S11" s="29">
        <v>0</v>
      </c>
      <c r="T11" s="29">
        <v>1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1.7</v>
      </c>
      <c r="AH11" s="29">
        <v>1.6</v>
      </c>
      <c r="AI11" s="29">
        <v>1.29</v>
      </c>
      <c r="AJ11" s="29">
        <v>0.092</v>
      </c>
      <c r="AK11" s="29">
        <v>0.18</v>
      </c>
      <c r="AL11" s="29">
        <v>1</v>
      </c>
      <c r="AM11" s="29">
        <v>1</v>
      </c>
      <c r="AN11" s="29">
        <v>0.2</v>
      </c>
      <c r="AO11" s="29">
        <v>1.5</v>
      </c>
      <c r="AP11" s="29">
        <v>1</v>
      </c>
      <c r="AQ11" s="29">
        <v>1</v>
      </c>
      <c r="AR11" s="29">
        <v>1</v>
      </c>
      <c r="AS11" s="29">
        <v>1</v>
      </c>
      <c r="AT11" s="29">
        <v>1</v>
      </c>
      <c r="AU11" s="29">
        <v>100</v>
      </c>
      <c r="AV11" s="29">
        <v>1</v>
      </c>
      <c r="AW11" s="29">
        <v>1</v>
      </c>
      <c r="AX11" s="29">
        <v>1</v>
      </c>
    </row>
    <row r="12" spans="2:50" ht="10.5">
      <c r="B12" s="29">
        <v>1</v>
      </c>
      <c r="C12" s="29">
        <v>1</v>
      </c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0</v>
      </c>
      <c r="L12" s="29">
        <v>0</v>
      </c>
      <c r="M12" s="29">
        <v>100</v>
      </c>
      <c r="N12" s="29">
        <v>0</v>
      </c>
      <c r="O12" s="29">
        <v>0</v>
      </c>
      <c r="P12" s="29">
        <v>1</v>
      </c>
      <c r="Q12" s="29">
        <v>1</v>
      </c>
      <c r="R12" s="29">
        <v>0</v>
      </c>
      <c r="S12" s="29">
        <v>0</v>
      </c>
      <c r="T12" s="29">
        <v>1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1.7</v>
      </c>
      <c r="AH12" s="29">
        <v>1.6</v>
      </c>
      <c r="AI12" s="29">
        <v>1.29</v>
      </c>
      <c r="AJ12" s="29">
        <v>0.092</v>
      </c>
      <c r="AK12" s="29">
        <v>0.18</v>
      </c>
      <c r="AL12" s="29">
        <v>1</v>
      </c>
      <c r="AM12" s="29">
        <v>1</v>
      </c>
      <c r="AN12" s="29">
        <v>0.2</v>
      </c>
      <c r="AO12" s="29">
        <v>1.5</v>
      </c>
      <c r="AP12" s="29">
        <v>1</v>
      </c>
      <c r="AQ12" s="29">
        <v>1</v>
      </c>
      <c r="AR12" s="29">
        <v>1</v>
      </c>
      <c r="AS12" s="29">
        <v>1</v>
      </c>
      <c r="AT12" s="29">
        <v>1</v>
      </c>
      <c r="AU12" s="29">
        <v>100</v>
      </c>
      <c r="AV12" s="29">
        <v>1</v>
      </c>
      <c r="AW12" s="29">
        <v>1</v>
      </c>
      <c r="AX12" s="29">
        <v>1</v>
      </c>
    </row>
    <row r="13" spans="2:50" ht="10.5">
      <c r="B13" s="29">
        <v>1</v>
      </c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0</v>
      </c>
      <c r="L13" s="29">
        <v>0</v>
      </c>
      <c r="M13" s="29">
        <v>100</v>
      </c>
      <c r="N13" s="29">
        <v>0</v>
      </c>
      <c r="O13" s="29">
        <v>0</v>
      </c>
      <c r="P13" s="29">
        <v>1</v>
      </c>
      <c r="Q13" s="29">
        <v>1</v>
      </c>
      <c r="R13" s="29">
        <v>0</v>
      </c>
      <c r="S13" s="29">
        <v>0</v>
      </c>
      <c r="T13" s="29">
        <v>1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1.7</v>
      </c>
      <c r="AH13" s="29">
        <v>1.6</v>
      </c>
      <c r="AI13" s="29">
        <v>1.29</v>
      </c>
      <c r="AJ13" s="29">
        <v>0.092</v>
      </c>
      <c r="AK13" s="29">
        <v>0.18</v>
      </c>
      <c r="AL13" s="29">
        <v>1</v>
      </c>
      <c r="AM13" s="29">
        <v>1</v>
      </c>
      <c r="AN13" s="29">
        <v>0.2</v>
      </c>
      <c r="AO13" s="29">
        <v>1.5</v>
      </c>
      <c r="AP13" s="29">
        <v>1</v>
      </c>
      <c r="AQ13" s="29">
        <v>1</v>
      </c>
      <c r="AR13" s="29">
        <v>1</v>
      </c>
      <c r="AS13" s="29">
        <v>1</v>
      </c>
      <c r="AT13" s="29">
        <v>1</v>
      </c>
      <c r="AU13" s="29">
        <v>100</v>
      </c>
      <c r="AV13" s="29">
        <v>1</v>
      </c>
      <c r="AW13" s="29">
        <v>1</v>
      </c>
      <c r="AX13" s="29">
        <v>1</v>
      </c>
    </row>
    <row r="14" spans="2:50" ht="10.5">
      <c r="B14" s="29">
        <v>1</v>
      </c>
      <c r="C14" s="29">
        <v>1</v>
      </c>
      <c r="D14" s="29">
        <v>1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0</v>
      </c>
      <c r="L14" s="29">
        <v>0</v>
      </c>
      <c r="M14" s="29">
        <v>100</v>
      </c>
      <c r="N14" s="29">
        <v>0</v>
      </c>
      <c r="O14" s="29">
        <v>0</v>
      </c>
      <c r="P14" s="29">
        <v>1</v>
      </c>
      <c r="Q14" s="29">
        <v>1</v>
      </c>
      <c r="R14" s="29">
        <v>0</v>
      </c>
      <c r="S14" s="29">
        <v>0</v>
      </c>
      <c r="T14" s="29">
        <v>1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1.7</v>
      </c>
      <c r="AH14" s="29">
        <v>1.6</v>
      </c>
      <c r="AI14" s="29">
        <v>1.29</v>
      </c>
      <c r="AJ14" s="29">
        <v>0.092</v>
      </c>
      <c r="AK14" s="29">
        <v>0.18</v>
      </c>
      <c r="AL14" s="29">
        <v>1</v>
      </c>
      <c r="AM14" s="29">
        <v>1</v>
      </c>
      <c r="AN14" s="29">
        <v>0.2</v>
      </c>
      <c r="AO14" s="29">
        <v>1.5</v>
      </c>
      <c r="AP14" s="29">
        <v>1</v>
      </c>
      <c r="AQ14" s="29">
        <v>1</v>
      </c>
      <c r="AR14" s="29">
        <v>1</v>
      </c>
      <c r="AS14" s="29">
        <v>1</v>
      </c>
      <c r="AT14" s="29">
        <v>1</v>
      </c>
      <c r="AU14" s="29">
        <v>100</v>
      </c>
      <c r="AV14" s="29">
        <v>1</v>
      </c>
      <c r="AW14" s="29">
        <v>1</v>
      </c>
      <c r="AX14" s="29">
        <v>1</v>
      </c>
    </row>
    <row r="15" spans="2:50" ht="10.5">
      <c r="B15" s="29">
        <v>1</v>
      </c>
      <c r="C15" s="29">
        <v>1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0</v>
      </c>
      <c r="L15" s="29">
        <v>0</v>
      </c>
      <c r="M15" s="29">
        <v>100</v>
      </c>
      <c r="N15" s="29">
        <v>0</v>
      </c>
      <c r="O15" s="29">
        <v>0</v>
      </c>
      <c r="P15" s="29">
        <v>1</v>
      </c>
      <c r="Q15" s="29">
        <v>1</v>
      </c>
      <c r="R15" s="29">
        <v>0</v>
      </c>
      <c r="S15" s="29">
        <v>0</v>
      </c>
      <c r="T15" s="29">
        <v>1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1.7</v>
      </c>
      <c r="AH15" s="29">
        <v>1.6</v>
      </c>
      <c r="AI15" s="29">
        <v>1.29</v>
      </c>
      <c r="AJ15" s="29">
        <v>0.092</v>
      </c>
      <c r="AK15" s="29">
        <v>0.18</v>
      </c>
      <c r="AL15" s="29">
        <v>1</v>
      </c>
      <c r="AM15" s="29">
        <v>1</v>
      </c>
      <c r="AN15" s="29">
        <v>0.2</v>
      </c>
      <c r="AO15" s="29">
        <v>1.5</v>
      </c>
      <c r="AP15" s="29">
        <v>1</v>
      </c>
      <c r="AQ15" s="29">
        <v>1</v>
      </c>
      <c r="AR15" s="29">
        <v>1</v>
      </c>
      <c r="AS15" s="29">
        <v>1</v>
      </c>
      <c r="AT15" s="29">
        <v>1</v>
      </c>
      <c r="AU15" s="29">
        <v>100</v>
      </c>
      <c r="AV15" s="29">
        <v>1</v>
      </c>
      <c r="AW15" s="29">
        <v>1</v>
      </c>
      <c r="AX15" s="29">
        <v>1</v>
      </c>
    </row>
    <row r="16" spans="2:50" ht="10.5">
      <c r="B16" s="29">
        <v>1</v>
      </c>
      <c r="C16" s="29">
        <v>1</v>
      </c>
      <c r="D16" s="29">
        <v>1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1</v>
      </c>
      <c r="K16" s="29">
        <v>0</v>
      </c>
      <c r="L16" s="29">
        <v>0</v>
      </c>
      <c r="M16" s="29">
        <v>100</v>
      </c>
      <c r="N16" s="29">
        <v>0</v>
      </c>
      <c r="O16" s="29">
        <v>0</v>
      </c>
      <c r="P16" s="29">
        <v>1</v>
      </c>
      <c r="Q16" s="29">
        <v>1</v>
      </c>
      <c r="R16" s="29">
        <v>0</v>
      </c>
      <c r="S16" s="29">
        <v>0</v>
      </c>
      <c r="T16" s="29">
        <v>1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1.7</v>
      </c>
      <c r="AH16" s="29">
        <v>1.6</v>
      </c>
      <c r="AI16" s="29">
        <v>1.29</v>
      </c>
      <c r="AJ16" s="29">
        <v>0.092</v>
      </c>
      <c r="AK16" s="29">
        <v>0.18</v>
      </c>
      <c r="AL16" s="29">
        <v>1</v>
      </c>
      <c r="AM16" s="29">
        <v>1</v>
      </c>
      <c r="AN16" s="29">
        <v>0.2</v>
      </c>
      <c r="AO16" s="29">
        <v>1.5</v>
      </c>
      <c r="AP16" s="29">
        <v>1</v>
      </c>
      <c r="AQ16" s="29">
        <v>1</v>
      </c>
      <c r="AR16" s="29">
        <v>1</v>
      </c>
      <c r="AS16" s="29">
        <v>1</v>
      </c>
      <c r="AT16" s="29">
        <v>1</v>
      </c>
      <c r="AU16" s="29">
        <v>100</v>
      </c>
      <c r="AV16" s="29">
        <v>1</v>
      </c>
      <c r="AW16" s="29">
        <v>1</v>
      </c>
      <c r="AX16" s="29">
        <v>1</v>
      </c>
    </row>
  </sheetData>
  <sheetProtection/>
  <mergeCells count="5">
    <mergeCell ref="B7:L8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L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4" customWidth="1"/>
    <col min="2" max="16384" width="9.140625" style="33" customWidth="1"/>
  </cols>
  <sheetData>
    <row r="1" spans="2:10" s="30" customFormat="1" ht="10.5">
      <c r="B1" s="30" t="s">
        <v>225</v>
      </c>
      <c r="C1" s="30" t="s">
        <v>226</v>
      </c>
      <c r="D1" s="30" t="s">
        <v>227</v>
      </c>
      <c r="E1" s="30" t="s">
        <v>228</v>
      </c>
      <c r="F1" s="30" t="s">
        <v>229</v>
      </c>
      <c r="G1" s="30" t="s">
        <v>230</v>
      </c>
      <c r="H1" s="30" t="s">
        <v>231</v>
      </c>
      <c r="I1" s="30" t="s">
        <v>232</v>
      </c>
      <c r="J1" s="30" t="s">
        <v>233</v>
      </c>
    </row>
    <row r="2" spans="1:12" ht="10.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0.5">
      <c r="A3" s="35"/>
      <c r="B3" s="54" t="s">
        <v>174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0.5">
      <c r="A4" s="35"/>
      <c r="B4" s="54" t="s">
        <v>175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0.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7" spans="2:12" ht="10.5">
      <c r="B7" s="51" t="s">
        <v>24</v>
      </c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2:12" ht="10.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0" ht="10.5">
      <c r="B9" s="33" t="s">
        <v>234</v>
      </c>
      <c r="C9" s="33" t="s">
        <v>234</v>
      </c>
      <c r="D9" s="33" t="s">
        <v>235</v>
      </c>
      <c r="E9" s="33" t="s">
        <v>235</v>
      </c>
      <c r="F9" s="33" t="s">
        <v>236</v>
      </c>
      <c r="G9" s="33" t="s">
        <v>235</v>
      </c>
      <c r="H9" s="33" t="s">
        <v>235</v>
      </c>
      <c r="I9" s="33" t="s">
        <v>237</v>
      </c>
      <c r="J9" s="33" t="s">
        <v>235</v>
      </c>
    </row>
    <row r="10" spans="2:10" ht="10.5">
      <c r="B10" s="33" t="s">
        <v>234</v>
      </c>
      <c r="C10" s="33" t="s">
        <v>234</v>
      </c>
      <c r="D10" s="33" t="s">
        <v>235</v>
      </c>
      <c r="E10" s="33" t="s">
        <v>235</v>
      </c>
      <c r="F10" s="33" t="s">
        <v>236</v>
      </c>
      <c r="G10" s="33" t="s">
        <v>235</v>
      </c>
      <c r="H10" s="33" t="s">
        <v>235</v>
      </c>
      <c r="I10" s="33" t="s">
        <v>237</v>
      </c>
      <c r="J10" s="33" t="s">
        <v>235</v>
      </c>
    </row>
    <row r="11" spans="2:10" ht="10.5">
      <c r="B11" s="33" t="s">
        <v>234</v>
      </c>
      <c r="C11" s="33" t="s">
        <v>234</v>
      </c>
      <c r="D11" s="33" t="s">
        <v>235</v>
      </c>
      <c r="E11" s="33" t="s">
        <v>235</v>
      </c>
      <c r="F11" s="33" t="s">
        <v>236</v>
      </c>
      <c r="G11" s="33" t="s">
        <v>235</v>
      </c>
      <c r="H11" s="33" t="s">
        <v>235</v>
      </c>
      <c r="I11" s="33" t="s">
        <v>237</v>
      </c>
      <c r="J11" s="33" t="s">
        <v>235</v>
      </c>
    </row>
    <row r="12" spans="2:10" ht="10.5">
      <c r="B12" s="33" t="s">
        <v>234</v>
      </c>
      <c r="C12" s="33" t="s">
        <v>234</v>
      </c>
      <c r="D12" s="33" t="s">
        <v>235</v>
      </c>
      <c r="E12" s="33" t="s">
        <v>235</v>
      </c>
      <c r="F12" s="33" t="s">
        <v>236</v>
      </c>
      <c r="G12" s="33" t="s">
        <v>235</v>
      </c>
      <c r="H12" s="33" t="s">
        <v>235</v>
      </c>
      <c r="I12" s="33" t="s">
        <v>237</v>
      </c>
      <c r="J12" s="33" t="s">
        <v>235</v>
      </c>
    </row>
    <row r="13" spans="2:10" ht="10.5">
      <c r="B13" s="33" t="s">
        <v>234</v>
      </c>
      <c r="C13" s="33" t="s">
        <v>234</v>
      </c>
      <c r="D13" s="33" t="s">
        <v>235</v>
      </c>
      <c r="E13" s="33" t="s">
        <v>235</v>
      </c>
      <c r="F13" s="33" t="s">
        <v>236</v>
      </c>
      <c r="G13" s="33" t="s">
        <v>235</v>
      </c>
      <c r="H13" s="33" t="s">
        <v>235</v>
      </c>
      <c r="I13" s="33" t="s">
        <v>237</v>
      </c>
      <c r="J13" s="33" t="s">
        <v>235</v>
      </c>
    </row>
    <row r="14" spans="2:10" ht="10.5">
      <c r="B14" s="33" t="s">
        <v>234</v>
      </c>
      <c r="C14" s="33" t="s">
        <v>234</v>
      </c>
      <c r="D14" s="33" t="s">
        <v>235</v>
      </c>
      <c r="E14" s="33" t="s">
        <v>235</v>
      </c>
      <c r="F14" s="33" t="s">
        <v>236</v>
      </c>
      <c r="G14" s="33" t="s">
        <v>235</v>
      </c>
      <c r="H14" s="33" t="s">
        <v>235</v>
      </c>
      <c r="I14" s="33" t="s">
        <v>237</v>
      </c>
      <c r="J14" s="33" t="s">
        <v>235</v>
      </c>
    </row>
    <row r="15" spans="2:10" ht="10.5">
      <c r="B15" s="33" t="s">
        <v>234</v>
      </c>
      <c r="C15" s="33" t="s">
        <v>234</v>
      </c>
      <c r="D15" s="33" t="s">
        <v>235</v>
      </c>
      <c r="E15" s="33" t="s">
        <v>235</v>
      </c>
      <c r="F15" s="33" t="s">
        <v>236</v>
      </c>
      <c r="G15" s="33" t="s">
        <v>235</v>
      </c>
      <c r="H15" s="33" t="s">
        <v>235</v>
      </c>
      <c r="I15" s="33" t="s">
        <v>237</v>
      </c>
      <c r="J15" s="33" t="s">
        <v>235</v>
      </c>
    </row>
    <row r="16" spans="2:10" ht="10.5">
      <c r="B16" s="33" t="s">
        <v>234</v>
      </c>
      <c r="C16" s="33" t="s">
        <v>234</v>
      </c>
      <c r="D16" s="33" t="s">
        <v>235</v>
      </c>
      <c r="E16" s="33" t="s">
        <v>235</v>
      </c>
      <c r="F16" s="33" t="s">
        <v>236</v>
      </c>
      <c r="G16" s="33" t="s">
        <v>235</v>
      </c>
      <c r="H16" s="33" t="s">
        <v>235</v>
      </c>
      <c r="I16" s="33" t="s">
        <v>237</v>
      </c>
      <c r="J16" s="33" t="s">
        <v>235</v>
      </c>
    </row>
  </sheetData>
  <sheetProtection/>
  <mergeCells count="5">
    <mergeCell ref="B7:L8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2:N18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9" customWidth="1"/>
    <col min="2" max="2" width="44.421875" style="7" customWidth="1"/>
    <col min="3" max="3" width="3.421875" style="33" customWidth="1"/>
    <col min="4" max="4" width="6.00390625" style="36" customWidth="1"/>
    <col min="5" max="5" width="6.00390625" style="7" customWidth="1"/>
    <col min="6" max="9" width="12.7109375" style="36" customWidth="1"/>
    <col min="10" max="11" width="18.7109375" style="36" customWidth="1"/>
    <col min="12" max="12" width="12.7109375" style="36" customWidth="1"/>
    <col min="13" max="13" width="9.140625" style="36" customWidth="1"/>
    <col min="14" max="14" width="3.421875" style="33" hidden="1" customWidth="1"/>
    <col min="15" max="16384" width="9.140625" style="36" customWidth="1"/>
  </cols>
  <sheetData>
    <row r="2" spans="1:14" ht="10.5">
      <c r="A2" s="48"/>
      <c r="B2" s="55"/>
      <c r="C2" s="55"/>
      <c r="D2" s="56"/>
      <c r="E2" s="55"/>
      <c r="F2" s="56"/>
      <c r="G2" s="56"/>
      <c r="H2" s="56"/>
      <c r="I2" s="56"/>
      <c r="J2" s="56"/>
      <c r="K2" s="56"/>
      <c r="L2" s="56"/>
      <c r="N2" s="36"/>
    </row>
    <row r="3" spans="1:14" ht="10.5">
      <c r="A3" s="31"/>
      <c r="B3" s="50" t="s">
        <v>174</v>
      </c>
      <c r="C3" s="50"/>
      <c r="D3" s="50"/>
      <c r="E3" s="50"/>
      <c r="F3" s="50"/>
      <c r="G3" s="50"/>
      <c r="H3" s="50"/>
      <c r="I3" s="50"/>
      <c r="J3" s="50"/>
      <c r="K3" s="50"/>
      <c r="L3" s="50"/>
      <c r="N3" s="36"/>
    </row>
    <row r="4" spans="1:14" ht="10.5">
      <c r="A4" s="31"/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  <c r="N4" s="36"/>
    </row>
    <row r="5" spans="1:14" ht="10.5">
      <c r="A5" s="48"/>
      <c r="B5" s="55"/>
      <c r="C5" s="55"/>
      <c r="D5" s="56"/>
      <c r="E5" s="55"/>
      <c r="F5" s="56"/>
      <c r="G5" s="56"/>
      <c r="H5" s="56"/>
      <c r="I5" s="56"/>
      <c r="J5" s="56"/>
      <c r="K5" s="56"/>
      <c r="L5" s="56"/>
      <c r="N5" s="36"/>
    </row>
    <row r="7" spans="2:14" ht="10.5">
      <c r="B7" s="42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  <c r="N7" s="36"/>
    </row>
    <row r="8" spans="2:12" ht="10.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 s="30" customFormat="1" ht="10.5">
      <c r="A9" s="5"/>
      <c r="B9" s="30" t="s">
        <v>238</v>
      </c>
      <c r="C9" s="30" t="s">
        <v>239</v>
      </c>
      <c r="D9" s="37" t="s">
        <v>240</v>
      </c>
      <c r="E9" s="30" t="s">
        <v>241</v>
      </c>
      <c r="F9" s="30" t="s">
        <v>242</v>
      </c>
      <c r="G9" s="30" t="s">
        <v>243</v>
      </c>
      <c r="H9" s="30" t="s">
        <v>244</v>
      </c>
      <c r="I9" s="30" t="s">
        <v>245</v>
      </c>
      <c r="J9" s="30" t="s">
        <v>246</v>
      </c>
      <c r="K9" s="30" t="s">
        <v>247</v>
      </c>
      <c r="L9" s="30" t="s">
        <v>248</v>
      </c>
      <c r="M9" s="30" t="s">
        <v>249</v>
      </c>
    </row>
    <row r="10" spans="1:14" ht="10.5">
      <c r="A10" s="29">
        <v>1</v>
      </c>
      <c r="B10" s="7" t="s">
        <v>134</v>
      </c>
      <c r="C10" s="33" t="s">
        <v>250</v>
      </c>
      <c r="D10" s="36">
        <v>0</v>
      </c>
      <c r="E10" s="36"/>
      <c r="F10" s="28">
        <f>ROUND(SUM('Базовые цены с учетом расхода'!B9:B16),2)</f>
        <v>82933.72</v>
      </c>
      <c r="G10" s="28">
        <f>ROUND(SUM('Базовые цены с учетом расхода'!C9:C16),2)</f>
        <v>231.52</v>
      </c>
      <c r="H10" s="28">
        <f>ROUND(SUM('Базовые цены с учетом расхода'!D9:D16),2)</f>
        <v>32.46</v>
      </c>
      <c r="I10" s="28">
        <f>ROUND(SUM('Базовые цены с учетом расхода'!E9:E16),2)</f>
        <v>7.34</v>
      </c>
      <c r="J10" s="32">
        <f>ROUND(SUM('Базовые цены с учетом расхода'!I9:I16),8)</f>
        <v>26.350425</v>
      </c>
      <c r="K10" s="32">
        <f>ROUND(SUM('Базовые цены с учетом расхода'!K9:K16),8)</f>
        <v>0.599795</v>
      </c>
      <c r="L10" s="28">
        <f>ROUND(SUM('Базовые цены с учетом расхода'!F9:F16),2)</f>
        <v>82669.74</v>
      </c>
      <c r="N10" s="36"/>
    </row>
    <row r="11" spans="1:12" ht="10.5">
      <c r="A11" s="29">
        <v>2</v>
      </c>
      <c r="B11" s="7" t="s">
        <v>82</v>
      </c>
      <c r="C11" s="33" t="s">
        <v>251</v>
      </c>
      <c r="D11" s="36">
        <v>0</v>
      </c>
      <c r="F11" s="28">
        <f>ROUND(SUMIF(Определители!I9:I16,"= ",'Базовые цены с учетом расхода'!B9:B16),2)</f>
        <v>0</v>
      </c>
      <c r="G11" s="28">
        <f>ROUND(SUMIF(Определители!I9:I16,"= ",'Базовые цены с учетом расхода'!C9:C16),2)</f>
        <v>0</v>
      </c>
      <c r="H11" s="28">
        <f>ROUND(SUMIF(Определители!I9:I16,"= ",'Базовые цены с учетом расхода'!D9:D16),2)</f>
        <v>0</v>
      </c>
      <c r="I11" s="28">
        <f>ROUND(SUMIF(Определители!I9:I16,"= ",'Базовые цены с учетом расхода'!E9:E16),2)</f>
        <v>0</v>
      </c>
      <c r="J11" s="32">
        <f>ROUND(SUMIF(Определители!I9:I16,"= ",'Базовые цены с учетом расхода'!I9:I16),8)</f>
        <v>0</v>
      </c>
      <c r="K11" s="32">
        <f>ROUND(SUMIF(Определители!I9:I16,"= ",'Базовые цены с учетом расхода'!K9:K16),8)</f>
        <v>0</v>
      </c>
      <c r="L11" s="28">
        <f>ROUND(SUMIF(Определители!I9:I16,"= ",'Базовые цены с учетом расхода'!F9:F16),2)</f>
        <v>0</v>
      </c>
    </row>
    <row r="12" spans="1:12" ht="10.5">
      <c r="A12" s="29">
        <v>3</v>
      </c>
      <c r="B12" s="7" t="s">
        <v>83</v>
      </c>
      <c r="C12" s="33" t="s">
        <v>251</v>
      </c>
      <c r="D12" s="36">
        <v>0</v>
      </c>
      <c r="F12" s="28">
        <f>ROUND(СУММПРОИЗВЕСЛИ(0.01,Определители!I9:I16," ",'Базовые цены с учетом расхода'!B9:B16,Начисления!X9:X16,0),2)</f>
        <v>0</v>
      </c>
      <c r="G12" s="28"/>
      <c r="H12" s="28"/>
      <c r="I12" s="28"/>
      <c r="J12" s="32"/>
      <c r="K12" s="32"/>
      <c r="L12" s="28"/>
    </row>
    <row r="13" spans="1:12" ht="10.5">
      <c r="A13" s="29">
        <v>4</v>
      </c>
      <c r="B13" s="7" t="s">
        <v>84</v>
      </c>
      <c r="C13" s="33" t="s">
        <v>251</v>
      </c>
      <c r="D13" s="36">
        <v>0</v>
      </c>
      <c r="F13" s="28">
        <f>ROUND(СУММПРОИЗВЕСЛИ(0.01,Определители!I9:I16," ",'Базовые цены с учетом расхода'!B9:B16,Начисления!Y9:Y16,0),2)</f>
        <v>0</v>
      </c>
      <c r="G13" s="28"/>
      <c r="H13" s="28"/>
      <c r="I13" s="28"/>
      <c r="J13" s="32"/>
      <c r="K13" s="32"/>
      <c r="L13" s="28"/>
    </row>
    <row r="14" spans="1:12" ht="10.5">
      <c r="A14" s="29">
        <v>5</v>
      </c>
      <c r="B14" s="7" t="s">
        <v>85</v>
      </c>
      <c r="C14" s="33" t="s">
        <v>251</v>
      </c>
      <c r="D14" s="36">
        <v>0</v>
      </c>
      <c r="F14" s="28">
        <f>ROUND(ТРАНСПРАСХОД(Определители!B9:B16,Определители!H9:H16,Определители!I9:I16,'Базовые цены с учетом расхода'!B9:B16,Начисления!Z9:Z16,Начисления!AA9:AA16),2)</f>
        <v>0</v>
      </c>
      <c r="G14" s="28"/>
      <c r="H14" s="28"/>
      <c r="I14" s="28"/>
      <c r="J14" s="32"/>
      <c r="K14" s="32"/>
      <c r="L14" s="28"/>
    </row>
    <row r="15" spans="1:12" ht="10.5">
      <c r="A15" s="29">
        <v>6</v>
      </c>
      <c r="B15" s="7" t="s">
        <v>86</v>
      </c>
      <c r="C15" s="33" t="s">
        <v>251</v>
      </c>
      <c r="D15" s="36">
        <v>0</v>
      </c>
      <c r="F15" s="28">
        <f>ROUND(СУММПРОИЗВЕСЛИ(0.01,Определители!I9:I16," ",'Базовые цены с учетом расхода'!B9:B16,Начисления!AC9:AC16,0),2)</f>
        <v>0</v>
      </c>
      <c r="G15" s="28"/>
      <c r="H15" s="28"/>
      <c r="I15" s="28"/>
      <c r="J15" s="32"/>
      <c r="K15" s="32"/>
      <c r="L15" s="28"/>
    </row>
    <row r="16" spans="1:12" ht="10.5">
      <c r="A16" s="29">
        <v>7</v>
      </c>
      <c r="B16" s="7" t="s">
        <v>87</v>
      </c>
      <c r="C16" s="33" t="s">
        <v>251</v>
      </c>
      <c r="D16" s="36">
        <v>0</v>
      </c>
      <c r="F16" s="28">
        <f>ROUND(СУММПРОИЗВЕСЛИ(0.01,Определители!I9:I16," ",'Базовые цены с учетом расхода'!B9:B16,Начисления!AF9:AF16,0),2)</f>
        <v>0</v>
      </c>
      <c r="G16" s="28"/>
      <c r="H16" s="28"/>
      <c r="I16" s="28"/>
      <c r="J16" s="32"/>
      <c r="K16" s="32"/>
      <c r="L16" s="28"/>
    </row>
    <row r="17" spans="1:12" ht="10.5">
      <c r="A17" s="29">
        <v>8</v>
      </c>
      <c r="B17" s="7" t="s">
        <v>88</v>
      </c>
      <c r="C17" s="33" t="s">
        <v>251</v>
      </c>
      <c r="D17" s="36">
        <v>0</v>
      </c>
      <c r="F17" s="28">
        <f>ROUND(ЗАГОТСКЛАДРАСХОД(Определители!B9:B16,Определители!H9:H16,Определители!I9:I16,'Базовые цены с учетом расхода'!B9:B16,Начисления!X9:X16,Начисления!Y9:Y16,Начисления!Z9:Z16,Начисления!AA9:AA16,Начисления!AB9:AB16,Начисления!AC9:AC16,Начисления!AF9:AF16),2)</f>
        <v>0</v>
      </c>
      <c r="G17" s="28"/>
      <c r="H17" s="28"/>
      <c r="I17" s="28"/>
      <c r="J17" s="32"/>
      <c r="K17" s="32"/>
      <c r="L17" s="28"/>
    </row>
    <row r="18" spans="1:12" ht="10.5">
      <c r="A18" s="29">
        <v>9</v>
      </c>
      <c r="B18" s="7" t="s">
        <v>89</v>
      </c>
      <c r="C18" s="33" t="s">
        <v>251</v>
      </c>
      <c r="D18" s="36">
        <v>0</v>
      </c>
      <c r="F18" s="28">
        <f>ROUND(СУММПРОИЗВЕСЛИ(1,Определители!I9:I16," ",'Базовые цены с учетом расхода'!M9:M16,Начисления!I9:I16,0),2)</f>
        <v>0</v>
      </c>
      <c r="G18" s="28"/>
      <c r="H18" s="28"/>
      <c r="I18" s="28"/>
      <c r="J18" s="32"/>
      <c r="K18" s="32"/>
      <c r="L18" s="28"/>
    </row>
    <row r="19" spans="1:12" ht="10.5">
      <c r="A19" s="29">
        <v>10</v>
      </c>
      <c r="B19" s="7" t="s">
        <v>90</v>
      </c>
      <c r="C19" s="33" t="s">
        <v>252</v>
      </c>
      <c r="D19" s="36">
        <v>0</v>
      </c>
      <c r="F19" s="28">
        <f>ROUND((F18+F29+F49),2)</f>
        <v>0</v>
      </c>
      <c r="G19" s="28"/>
      <c r="H19" s="28"/>
      <c r="I19" s="28"/>
      <c r="J19" s="32"/>
      <c r="K19" s="32"/>
      <c r="L19" s="28"/>
    </row>
    <row r="20" spans="1:12" ht="10.5">
      <c r="A20" s="29">
        <v>11</v>
      </c>
      <c r="B20" s="7" t="s">
        <v>91</v>
      </c>
      <c r="C20" s="33" t="s">
        <v>252</v>
      </c>
      <c r="D20" s="36">
        <v>0</v>
      </c>
      <c r="F20" s="28">
        <f>ROUND((F11+F12+F13+F14+F15+F16+F17+F19),2)</f>
        <v>0</v>
      </c>
      <c r="G20" s="28"/>
      <c r="H20" s="28"/>
      <c r="I20" s="28"/>
      <c r="J20" s="32"/>
      <c r="K20" s="32"/>
      <c r="L20" s="28"/>
    </row>
    <row r="21" spans="1:12" ht="10.5">
      <c r="A21" s="29">
        <v>12</v>
      </c>
      <c r="B21" s="7" t="s">
        <v>92</v>
      </c>
      <c r="C21" s="33" t="s">
        <v>251</v>
      </c>
      <c r="D21" s="36">
        <v>0</v>
      </c>
      <c r="F21" s="28">
        <f>ROUND(SUMIF(Определители!I9:I16,"=1",'Базовые цены с учетом расхода'!B9:B16),2)</f>
        <v>0</v>
      </c>
      <c r="G21" s="28">
        <f>ROUND(SUMIF(Определители!I9:I16,"=1",'Базовые цены с учетом расхода'!C9:C16),2)</f>
        <v>0</v>
      </c>
      <c r="H21" s="28">
        <f>ROUND(SUMIF(Определители!I9:I16,"=1",'Базовые цены с учетом расхода'!D9:D16),2)</f>
        <v>0</v>
      </c>
      <c r="I21" s="28">
        <f>ROUND(SUMIF(Определители!I9:I16,"=1",'Базовые цены с учетом расхода'!E9:E16),2)</f>
        <v>0</v>
      </c>
      <c r="J21" s="32">
        <f>ROUND(SUMIF(Определители!I9:I16,"=1",'Базовые цены с учетом расхода'!I9:I16),8)</f>
        <v>0</v>
      </c>
      <c r="K21" s="32">
        <f>ROUND(SUMIF(Определители!I9:I16,"=1",'Базовые цены с учетом расхода'!K9:K16),8)</f>
        <v>0</v>
      </c>
      <c r="L21" s="28">
        <f>ROUND(SUMIF(Определители!I9:I16,"=1",'Базовые цены с учетом расхода'!F9:F16),2)</f>
        <v>0</v>
      </c>
    </row>
    <row r="22" spans="1:12" ht="10.5">
      <c r="A22" s="29">
        <v>13</v>
      </c>
      <c r="B22" s="7" t="s">
        <v>93</v>
      </c>
      <c r="C22" s="33" t="s">
        <v>251</v>
      </c>
      <c r="D22" s="36">
        <v>0</v>
      </c>
      <c r="F22" s="28"/>
      <c r="G22" s="28"/>
      <c r="H22" s="28"/>
      <c r="I22" s="28"/>
      <c r="J22" s="32"/>
      <c r="K22" s="32"/>
      <c r="L22" s="28"/>
    </row>
    <row r="23" spans="1:12" ht="10.5">
      <c r="A23" s="29">
        <v>14</v>
      </c>
      <c r="B23" s="7" t="s">
        <v>94</v>
      </c>
      <c r="C23" s="33" t="s">
        <v>251</v>
      </c>
      <c r="D23" s="36">
        <v>0</v>
      </c>
      <c r="F23" s="28"/>
      <c r="G23" s="28">
        <f>ROUND(SUMIF(Определители!I9:I16,"=1",'Базовые цены с учетом расхода'!T9:T16),2)</f>
        <v>0</v>
      </c>
      <c r="H23" s="28"/>
      <c r="I23" s="28"/>
      <c r="J23" s="32"/>
      <c r="K23" s="32"/>
      <c r="L23" s="28"/>
    </row>
    <row r="24" spans="1:12" ht="10.5">
      <c r="A24" s="29">
        <v>15</v>
      </c>
      <c r="B24" s="7" t="s">
        <v>95</v>
      </c>
      <c r="C24" s="33" t="s">
        <v>251</v>
      </c>
      <c r="D24" s="36">
        <v>0</v>
      </c>
      <c r="F24" s="28">
        <f>ROUND(SUMIF(Определители!I9:I16,"=1",'Базовые цены с учетом расхода'!U9:U16),2)</f>
        <v>0</v>
      </c>
      <c r="G24" s="28"/>
      <c r="H24" s="28"/>
      <c r="I24" s="28"/>
      <c r="J24" s="32"/>
      <c r="K24" s="32"/>
      <c r="L24" s="28"/>
    </row>
    <row r="25" spans="1:12" ht="10.5">
      <c r="A25" s="29">
        <v>16</v>
      </c>
      <c r="B25" s="7" t="s">
        <v>96</v>
      </c>
      <c r="C25" s="33" t="s">
        <v>251</v>
      </c>
      <c r="D25" s="36">
        <v>0</v>
      </c>
      <c r="F25" s="28">
        <f>ROUND(СУММЕСЛИ2(Определители!I9:I16,"1",Определители!G9:G16,"1",'Базовые цены с учетом расхода'!B9:B16),2)</f>
        <v>0</v>
      </c>
      <c r="G25" s="28"/>
      <c r="H25" s="28"/>
      <c r="I25" s="28"/>
      <c r="J25" s="32"/>
      <c r="K25" s="32"/>
      <c r="L25" s="28"/>
    </row>
    <row r="26" spans="1:12" ht="10.5">
      <c r="A26" s="29">
        <v>17</v>
      </c>
      <c r="B26" s="7" t="s">
        <v>97</v>
      </c>
      <c r="C26" s="33" t="s">
        <v>251</v>
      </c>
      <c r="D26" s="36">
        <v>0</v>
      </c>
      <c r="F26" s="28">
        <f>ROUND(SUMIF(Определители!I9:I16,"=1",'Базовые цены с учетом расхода'!H9:H16),2)</f>
        <v>0</v>
      </c>
      <c r="G26" s="28"/>
      <c r="H26" s="28"/>
      <c r="I26" s="28"/>
      <c r="J26" s="32"/>
      <c r="K26" s="32"/>
      <c r="L26" s="28"/>
    </row>
    <row r="27" spans="1:12" ht="10.5">
      <c r="A27" s="29">
        <v>18</v>
      </c>
      <c r="B27" s="7" t="s">
        <v>98</v>
      </c>
      <c r="C27" s="33" t="s">
        <v>251</v>
      </c>
      <c r="D27" s="36">
        <v>0</v>
      </c>
      <c r="F27" s="28">
        <f>ROUND(SUMIF(Определители!I9:I16,"=1",'Базовые цены с учетом расхода'!N9:N16),2)</f>
        <v>0</v>
      </c>
      <c r="G27" s="28"/>
      <c r="H27" s="28"/>
      <c r="I27" s="28"/>
      <c r="J27" s="32"/>
      <c r="K27" s="32"/>
      <c r="L27" s="28"/>
    </row>
    <row r="28" spans="1:12" ht="10.5">
      <c r="A28" s="29">
        <v>19</v>
      </c>
      <c r="B28" s="7" t="s">
        <v>99</v>
      </c>
      <c r="C28" s="33" t="s">
        <v>251</v>
      </c>
      <c r="D28" s="36">
        <v>0</v>
      </c>
      <c r="F28" s="28">
        <f>ROUND(SUMIF(Определители!I9:I16,"=1",'Базовые цены с учетом расхода'!O9:O16),2)</f>
        <v>0</v>
      </c>
      <c r="G28" s="28"/>
      <c r="H28" s="28"/>
      <c r="I28" s="28"/>
      <c r="J28" s="32"/>
      <c r="K28" s="32"/>
      <c r="L28" s="28"/>
    </row>
    <row r="29" spans="1:12" ht="10.5">
      <c r="A29" s="29">
        <v>20</v>
      </c>
      <c r="B29" s="7" t="s">
        <v>90</v>
      </c>
      <c r="C29" s="33" t="s">
        <v>251</v>
      </c>
      <c r="D29" s="36">
        <v>0</v>
      </c>
      <c r="F29" s="28">
        <f>ROUND(СУММПРОИЗВЕСЛИ(1,Определители!I9:I16," ",'Базовые цены с учетом расхода'!M9:M16,Начисления!I9:I16,0),2)</f>
        <v>0</v>
      </c>
      <c r="G29" s="28"/>
      <c r="H29" s="28"/>
      <c r="I29" s="28"/>
      <c r="J29" s="32"/>
      <c r="K29" s="32"/>
      <c r="L29" s="28"/>
    </row>
    <row r="30" spans="1:12" ht="10.5">
      <c r="A30" s="29">
        <v>21</v>
      </c>
      <c r="B30" s="7" t="s">
        <v>100</v>
      </c>
      <c r="C30" s="33" t="s">
        <v>252</v>
      </c>
      <c r="D30" s="36">
        <v>0</v>
      </c>
      <c r="F30" s="28">
        <f>ROUND((F21+F27+F28),2)</f>
        <v>0</v>
      </c>
      <c r="G30" s="28"/>
      <c r="H30" s="28"/>
      <c r="I30" s="28"/>
      <c r="J30" s="32"/>
      <c r="K30" s="32"/>
      <c r="L30" s="28"/>
    </row>
    <row r="31" spans="1:12" ht="10.5">
      <c r="A31" s="29">
        <v>22</v>
      </c>
      <c r="B31" s="7" t="s">
        <v>101</v>
      </c>
      <c r="C31" s="33" t="s">
        <v>251</v>
      </c>
      <c r="D31" s="36">
        <v>0</v>
      </c>
      <c r="F31" s="28">
        <f>ROUND(SUMIF(Определители!I9:I16,"=2",'Базовые цены с учетом расхода'!B9:B16),2)</f>
        <v>82933.72</v>
      </c>
      <c r="G31" s="28">
        <f>ROUND(SUMIF(Определители!I9:I16,"=2",'Базовые цены с учетом расхода'!C9:C16),2)</f>
        <v>231.52</v>
      </c>
      <c r="H31" s="28">
        <f>ROUND(SUMIF(Определители!I9:I16,"=2",'Базовые цены с учетом расхода'!D9:D16),2)</f>
        <v>32.46</v>
      </c>
      <c r="I31" s="28">
        <f>ROUND(SUMIF(Определители!I9:I16,"=2",'Базовые цены с учетом расхода'!E9:E16),2)</f>
        <v>7.34</v>
      </c>
      <c r="J31" s="32">
        <f>ROUND(SUMIF(Определители!I9:I16,"=2",'Базовые цены с учетом расхода'!I9:I16),8)</f>
        <v>26.350425</v>
      </c>
      <c r="K31" s="32">
        <f>ROUND(SUMIF(Определители!I9:I16,"=2",'Базовые цены с учетом расхода'!K9:K16),8)</f>
        <v>0.599795</v>
      </c>
      <c r="L31" s="28">
        <f>ROUND(SUMIF(Определители!I9:I16,"=2",'Базовые цены с учетом расхода'!F9:F16),2)</f>
        <v>82669.74</v>
      </c>
    </row>
    <row r="32" spans="1:12" ht="10.5">
      <c r="A32" s="29">
        <v>23</v>
      </c>
      <c r="B32" s="7" t="s">
        <v>93</v>
      </c>
      <c r="C32" s="33" t="s">
        <v>251</v>
      </c>
      <c r="D32" s="36">
        <v>0</v>
      </c>
      <c r="F32" s="28"/>
      <c r="G32" s="28"/>
      <c r="H32" s="28"/>
      <c r="I32" s="28"/>
      <c r="J32" s="32"/>
      <c r="K32" s="32"/>
      <c r="L32" s="28"/>
    </row>
    <row r="33" spans="1:12" ht="10.5">
      <c r="A33" s="29">
        <v>24</v>
      </c>
      <c r="B33" s="7" t="s">
        <v>102</v>
      </c>
      <c r="C33" s="33" t="s">
        <v>251</v>
      </c>
      <c r="D33" s="36">
        <v>0</v>
      </c>
      <c r="F33" s="28">
        <f>ROUND(СУММЕСЛИ2(Определители!I9:I16,"2",Определители!G9:G16,"1",'Базовые цены с учетом расхода'!B9:B16),2)</f>
        <v>0</v>
      </c>
      <c r="G33" s="28"/>
      <c r="H33" s="28"/>
      <c r="I33" s="28"/>
      <c r="J33" s="32"/>
      <c r="K33" s="32"/>
      <c r="L33" s="28"/>
    </row>
    <row r="34" spans="1:12" ht="10.5">
      <c r="A34" s="29">
        <v>25</v>
      </c>
      <c r="B34" s="7" t="s">
        <v>97</v>
      </c>
      <c r="C34" s="33" t="s">
        <v>251</v>
      </c>
      <c r="D34" s="36">
        <v>0</v>
      </c>
      <c r="F34" s="28">
        <f>ROUND(SUMIF(Определители!I9:I16,"=2",'Базовые цены с учетом расхода'!H9:H16),2)</f>
        <v>0</v>
      </c>
      <c r="G34" s="28"/>
      <c r="H34" s="28"/>
      <c r="I34" s="28"/>
      <c r="J34" s="32"/>
      <c r="K34" s="32"/>
      <c r="L34" s="28"/>
    </row>
    <row r="35" spans="1:12" ht="10.5">
      <c r="A35" s="29">
        <v>26</v>
      </c>
      <c r="B35" s="7" t="s">
        <v>98</v>
      </c>
      <c r="C35" s="33" t="s">
        <v>251</v>
      </c>
      <c r="D35" s="36">
        <v>0</v>
      </c>
      <c r="F35" s="28">
        <f>ROUND(SUMIF(Определители!I9:I16,"=2",'Базовые цены с учетом расхода'!N9:N16),2)</f>
        <v>250.3</v>
      </c>
      <c r="G35" s="28"/>
      <c r="H35" s="28"/>
      <c r="I35" s="28"/>
      <c r="J35" s="32"/>
      <c r="K35" s="32"/>
      <c r="L35" s="28"/>
    </row>
    <row r="36" spans="1:12" ht="10.5">
      <c r="A36" s="29">
        <v>27</v>
      </c>
      <c r="B36" s="7" t="s">
        <v>99</v>
      </c>
      <c r="C36" s="33" t="s">
        <v>251</v>
      </c>
      <c r="D36" s="36">
        <v>0</v>
      </c>
      <c r="F36" s="28">
        <f>ROUND(SUMIF(Определители!I9:I16,"=2",'Базовые цены с учетом расхода'!O9:O16),2)</f>
        <v>125.95</v>
      </c>
      <c r="G36" s="28"/>
      <c r="H36" s="28"/>
      <c r="I36" s="28"/>
      <c r="J36" s="32"/>
      <c r="K36" s="32"/>
      <c r="L36" s="28"/>
    </row>
    <row r="37" spans="1:12" ht="10.5">
      <c r="A37" s="29">
        <v>28</v>
      </c>
      <c r="B37" s="7" t="s">
        <v>103</v>
      </c>
      <c r="C37" s="33" t="s">
        <v>252</v>
      </c>
      <c r="D37" s="36">
        <v>0</v>
      </c>
      <c r="F37" s="28">
        <f>ROUND((F31+F35+F36),2)</f>
        <v>83309.97</v>
      </c>
      <c r="G37" s="28"/>
      <c r="H37" s="28"/>
      <c r="I37" s="28"/>
      <c r="J37" s="32"/>
      <c r="K37" s="32"/>
      <c r="L37" s="28"/>
    </row>
    <row r="38" spans="1:12" ht="10.5">
      <c r="A38" s="29">
        <v>29</v>
      </c>
      <c r="B38" s="7" t="s">
        <v>104</v>
      </c>
      <c r="C38" s="33" t="s">
        <v>251</v>
      </c>
      <c r="D38" s="36">
        <v>0</v>
      </c>
      <c r="F38" s="28">
        <f>ROUND(SUMIF(Определители!I9:I16,"=3",'Базовые цены с учетом расхода'!B9:B16),2)</f>
        <v>0</v>
      </c>
      <c r="G38" s="28">
        <f>ROUND(SUMIF(Определители!I9:I16,"=3",'Базовые цены с учетом расхода'!C9:C16),2)</f>
        <v>0</v>
      </c>
      <c r="H38" s="28">
        <f>ROUND(SUMIF(Определители!I9:I16,"=3",'Базовые цены с учетом расхода'!D9:D16),2)</f>
        <v>0</v>
      </c>
      <c r="I38" s="28">
        <f>ROUND(SUMIF(Определители!I9:I16,"=3",'Базовые цены с учетом расхода'!E9:E16),2)</f>
        <v>0</v>
      </c>
      <c r="J38" s="32">
        <f>ROUND(SUMIF(Определители!I9:I16,"=3",'Базовые цены с учетом расхода'!I9:I16),8)</f>
        <v>0</v>
      </c>
      <c r="K38" s="32">
        <f>ROUND(SUMIF(Определители!I9:I16,"=3",'Базовые цены с учетом расхода'!K9:K16),8)</f>
        <v>0</v>
      </c>
      <c r="L38" s="28">
        <f>ROUND(SUMIF(Определители!I9:I16,"=3",'Базовые цены с учетом расхода'!F9:F16),2)</f>
        <v>0</v>
      </c>
    </row>
    <row r="39" spans="1:12" ht="10.5">
      <c r="A39" s="29">
        <v>30</v>
      </c>
      <c r="B39" s="7" t="s">
        <v>97</v>
      </c>
      <c r="C39" s="33" t="s">
        <v>251</v>
      </c>
      <c r="D39" s="36">
        <v>0</v>
      </c>
      <c r="F39" s="28">
        <f>ROUND(SUMIF(Определители!I9:I16,"=3",'Базовые цены с учетом расхода'!H9:H16),2)</f>
        <v>0</v>
      </c>
      <c r="G39" s="28"/>
      <c r="H39" s="28"/>
      <c r="I39" s="28"/>
      <c r="J39" s="32"/>
      <c r="K39" s="32"/>
      <c r="L39" s="28"/>
    </row>
    <row r="40" spans="1:12" ht="10.5">
      <c r="A40" s="29">
        <v>31</v>
      </c>
      <c r="B40" s="7" t="s">
        <v>98</v>
      </c>
      <c r="C40" s="33" t="s">
        <v>251</v>
      </c>
      <c r="D40" s="36">
        <v>0</v>
      </c>
      <c r="F40" s="28">
        <f>ROUND(SUMIF(Определители!I9:I16,"=3",'Базовые цены с учетом расхода'!N9:N16),2)</f>
        <v>0</v>
      </c>
      <c r="G40" s="28"/>
      <c r="H40" s="28"/>
      <c r="I40" s="28"/>
      <c r="J40" s="32"/>
      <c r="K40" s="32"/>
      <c r="L40" s="28"/>
    </row>
    <row r="41" spans="1:12" ht="10.5">
      <c r="A41" s="29">
        <v>32</v>
      </c>
      <c r="B41" s="7" t="s">
        <v>99</v>
      </c>
      <c r="C41" s="33" t="s">
        <v>251</v>
      </c>
      <c r="D41" s="36">
        <v>0</v>
      </c>
      <c r="F41" s="28">
        <f>ROUND(SUMIF(Определители!I9:I16,"=3",'Базовые цены с учетом расхода'!O9:O16),2)</f>
        <v>0</v>
      </c>
      <c r="G41" s="28"/>
      <c r="H41" s="28"/>
      <c r="I41" s="28"/>
      <c r="J41" s="32"/>
      <c r="K41" s="32"/>
      <c r="L41" s="28"/>
    </row>
    <row r="42" spans="1:12" ht="10.5">
      <c r="A42" s="29">
        <v>33</v>
      </c>
      <c r="B42" s="7" t="s">
        <v>105</v>
      </c>
      <c r="C42" s="33" t="s">
        <v>252</v>
      </c>
      <c r="D42" s="36">
        <v>0</v>
      </c>
      <c r="F42" s="28">
        <f>ROUND((F38+F40+F41),2)</f>
        <v>0</v>
      </c>
      <c r="G42" s="28"/>
      <c r="H42" s="28"/>
      <c r="I42" s="28"/>
      <c r="J42" s="32"/>
      <c r="K42" s="32"/>
      <c r="L42" s="28"/>
    </row>
    <row r="43" spans="1:12" ht="10.5">
      <c r="A43" s="29">
        <v>34</v>
      </c>
      <c r="B43" s="7" t="s">
        <v>106</v>
      </c>
      <c r="C43" s="33" t="s">
        <v>251</v>
      </c>
      <c r="D43" s="36">
        <v>0</v>
      </c>
      <c r="F43" s="28">
        <f>ROUND(SUMIF(Определители!I9:I16,"=4",'Базовые цены с учетом расхода'!B9:B16),2)</f>
        <v>0</v>
      </c>
      <c r="G43" s="28">
        <f>ROUND(SUMIF(Определители!I9:I16,"=4",'Базовые цены с учетом расхода'!C9:C16),2)</f>
        <v>0</v>
      </c>
      <c r="H43" s="28">
        <f>ROUND(SUMIF(Определители!I9:I16,"=4",'Базовые цены с учетом расхода'!D9:D16),2)</f>
        <v>0</v>
      </c>
      <c r="I43" s="28">
        <f>ROUND(SUMIF(Определители!I9:I16,"=4",'Базовые цены с учетом расхода'!E9:E16),2)</f>
        <v>0</v>
      </c>
      <c r="J43" s="32">
        <f>ROUND(SUMIF(Определители!I9:I16,"=4",'Базовые цены с учетом расхода'!I9:I16),8)</f>
        <v>0</v>
      </c>
      <c r="K43" s="32">
        <f>ROUND(SUMIF(Определители!I9:I16,"=4",'Базовые цены с учетом расхода'!K9:K16),8)</f>
        <v>0</v>
      </c>
      <c r="L43" s="28">
        <f>ROUND(SUMIF(Определители!I9:I16,"=4",'Базовые цены с учетом расхода'!F9:F16),2)</f>
        <v>0</v>
      </c>
    </row>
    <row r="44" spans="1:12" ht="10.5">
      <c r="A44" s="29">
        <v>35</v>
      </c>
      <c r="B44" s="7" t="s">
        <v>93</v>
      </c>
      <c r="C44" s="33" t="s">
        <v>251</v>
      </c>
      <c r="D44" s="36">
        <v>0</v>
      </c>
      <c r="F44" s="28"/>
      <c r="G44" s="28"/>
      <c r="H44" s="28"/>
      <c r="I44" s="28"/>
      <c r="J44" s="32"/>
      <c r="K44" s="32"/>
      <c r="L44" s="28"/>
    </row>
    <row r="45" spans="1:12" ht="10.5">
      <c r="A45" s="29">
        <v>36</v>
      </c>
      <c r="B45" s="7" t="s">
        <v>107</v>
      </c>
      <c r="C45" s="33" t="s">
        <v>251</v>
      </c>
      <c r="D45" s="36">
        <v>0</v>
      </c>
      <c r="F45" s="28">
        <f>ROUND(SUMIF(Определители!I9:I16,"=4",'Базовые цены с учетом расхода'!AJ9:AJ16),2)</f>
        <v>0</v>
      </c>
      <c r="G45" s="28">
        <f>ROUND(SUMIF(Определители!I9:I16,"=4",'Базовые цены с учетом расхода'!AI9:AI16),2)</f>
        <v>0</v>
      </c>
      <c r="H45" s="28">
        <f>ROUND(SUMIF(Определители!I9:I16,"=4",'Базовые цены с учетом расхода'!AH9:AH16),2)</f>
        <v>0</v>
      </c>
      <c r="I45" s="28">
        <f>ROUND(SUMIF(Определители!I9:I16,"=4",'Базовые цены с учетом расхода'!V9:V16),2)</f>
        <v>0</v>
      </c>
      <c r="J45" s="32"/>
      <c r="K45" s="32"/>
      <c r="L45" s="28"/>
    </row>
    <row r="46" spans="1:12" ht="10.5">
      <c r="A46" s="29">
        <v>37</v>
      </c>
      <c r="B46" s="7" t="s">
        <v>97</v>
      </c>
      <c r="C46" s="33" t="s">
        <v>251</v>
      </c>
      <c r="D46" s="36">
        <v>0</v>
      </c>
      <c r="F46" s="28">
        <f>ROUND(SUMIF(Определители!I9:I16,"=4",'Базовые цены с учетом расхода'!H9:H16),2)</f>
        <v>0</v>
      </c>
      <c r="G46" s="28"/>
      <c r="H46" s="28"/>
      <c r="I46" s="28"/>
      <c r="J46" s="32"/>
      <c r="K46" s="32"/>
      <c r="L46" s="28"/>
    </row>
    <row r="47" spans="1:12" ht="10.5">
      <c r="A47" s="29">
        <v>38</v>
      </c>
      <c r="B47" s="7" t="s">
        <v>98</v>
      </c>
      <c r="C47" s="33" t="s">
        <v>251</v>
      </c>
      <c r="D47" s="36">
        <v>0</v>
      </c>
      <c r="F47" s="28">
        <f>ROUND(SUMIF(Определители!I9:I16,"=4",'Базовые цены с учетом расхода'!N9:N16),2)</f>
        <v>0</v>
      </c>
      <c r="G47" s="28"/>
      <c r="H47" s="28"/>
      <c r="I47" s="28"/>
      <c r="J47" s="32"/>
      <c r="K47" s="32"/>
      <c r="L47" s="28"/>
    </row>
    <row r="48" spans="1:12" ht="10.5">
      <c r="A48" s="29">
        <v>39</v>
      </c>
      <c r="B48" s="7" t="s">
        <v>99</v>
      </c>
      <c r="C48" s="33" t="s">
        <v>251</v>
      </c>
      <c r="D48" s="36">
        <v>0</v>
      </c>
      <c r="F48" s="28">
        <f>ROUND(SUMIF(Определители!I9:I16,"=4",'Базовые цены с учетом расхода'!O9:O16),2)</f>
        <v>0</v>
      </c>
      <c r="G48" s="28"/>
      <c r="H48" s="28"/>
      <c r="I48" s="28"/>
      <c r="J48" s="32"/>
      <c r="K48" s="32"/>
      <c r="L48" s="28"/>
    </row>
    <row r="49" spans="1:12" ht="10.5">
      <c r="A49" s="29">
        <v>40</v>
      </c>
      <c r="B49" s="7" t="s">
        <v>90</v>
      </c>
      <c r="C49" s="33" t="s">
        <v>251</v>
      </c>
      <c r="D49" s="36">
        <v>0</v>
      </c>
      <c r="F49" s="28">
        <f>ROUND(СУММПРОИЗВЕСЛИ(1,Определители!I9:I16," ",'Базовые цены с учетом расхода'!M9:M16,Начисления!I9:I16,0),2)</f>
        <v>0</v>
      </c>
      <c r="G49" s="28"/>
      <c r="H49" s="28"/>
      <c r="I49" s="28"/>
      <c r="J49" s="32"/>
      <c r="K49" s="32"/>
      <c r="L49" s="28"/>
    </row>
    <row r="50" spans="1:12" ht="10.5">
      <c r="A50" s="29">
        <v>41</v>
      </c>
      <c r="B50" s="7" t="s">
        <v>108</v>
      </c>
      <c r="C50" s="33" t="s">
        <v>252</v>
      </c>
      <c r="D50" s="36">
        <v>0</v>
      </c>
      <c r="F50" s="28">
        <f>ROUND((F43+F47+F48),2)</f>
        <v>0</v>
      </c>
      <c r="G50" s="28"/>
      <c r="H50" s="28"/>
      <c r="I50" s="28"/>
      <c r="J50" s="32"/>
      <c r="K50" s="32"/>
      <c r="L50" s="28"/>
    </row>
    <row r="51" spans="1:12" ht="10.5">
      <c r="A51" s="29">
        <v>42</v>
      </c>
      <c r="B51" s="7" t="s">
        <v>109</v>
      </c>
      <c r="C51" s="33" t="s">
        <v>251</v>
      </c>
      <c r="D51" s="36">
        <v>0</v>
      </c>
      <c r="F51" s="28">
        <f>ROUND(SUMIF(Определители!I9:I16,"=5",'Базовые цены с учетом расхода'!B9:B16),2)</f>
        <v>0</v>
      </c>
      <c r="G51" s="28">
        <f>ROUND(SUMIF(Определители!I9:I16,"=5",'Базовые цены с учетом расхода'!C9:C16),2)</f>
        <v>0</v>
      </c>
      <c r="H51" s="28">
        <f>ROUND(SUMIF(Определители!I9:I16,"=5",'Базовые цены с учетом расхода'!D9:D16),2)</f>
        <v>0</v>
      </c>
      <c r="I51" s="28">
        <f>ROUND(SUMIF(Определители!I9:I16,"=5",'Базовые цены с учетом расхода'!E9:E16),2)</f>
        <v>0</v>
      </c>
      <c r="J51" s="32">
        <f>ROUND(SUMIF(Определители!I9:I16,"=5",'Базовые цены с учетом расхода'!I9:I16),8)</f>
        <v>0</v>
      </c>
      <c r="K51" s="32">
        <f>ROUND(SUMIF(Определители!I9:I16,"=5",'Базовые цены с учетом расхода'!K9:K16),8)</f>
        <v>0</v>
      </c>
      <c r="L51" s="28">
        <f>ROUND(SUMIF(Определители!I9:I16,"=5",'Базовые цены с учетом расхода'!F9:F16),2)</f>
        <v>0</v>
      </c>
    </row>
    <row r="52" spans="1:12" ht="10.5">
      <c r="A52" s="29">
        <v>43</v>
      </c>
      <c r="B52" s="7" t="s">
        <v>97</v>
      </c>
      <c r="C52" s="33" t="s">
        <v>251</v>
      </c>
      <c r="D52" s="36">
        <v>0</v>
      </c>
      <c r="F52" s="28">
        <f>ROUND(SUMIF(Определители!I9:I16,"=5",'Базовые цены с учетом расхода'!H9:H16),2)</f>
        <v>0</v>
      </c>
      <c r="G52" s="28"/>
      <c r="H52" s="28"/>
      <c r="I52" s="28"/>
      <c r="J52" s="32"/>
      <c r="K52" s="32"/>
      <c r="L52" s="28"/>
    </row>
    <row r="53" spans="1:12" ht="10.5">
      <c r="A53" s="29">
        <v>44</v>
      </c>
      <c r="B53" s="7" t="s">
        <v>98</v>
      </c>
      <c r="C53" s="33" t="s">
        <v>251</v>
      </c>
      <c r="D53" s="36">
        <v>0</v>
      </c>
      <c r="F53" s="28">
        <f>ROUND(SUMIF(Определители!I9:I16,"=5",'Базовые цены с учетом расхода'!N9:N16),2)</f>
        <v>0</v>
      </c>
      <c r="G53" s="28"/>
      <c r="H53" s="28"/>
      <c r="I53" s="28"/>
      <c r="J53" s="32"/>
      <c r="K53" s="32"/>
      <c r="L53" s="28"/>
    </row>
    <row r="54" spans="1:12" ht="10.5">
      <c r="A54" s="29">
        <v>45</v>
      </c>
      <c r="B54" s="7" t="s">
        <v>99</v>
      </c>
      <c r="C54" s="33" t="s">
        <v>251</v>
      </c>
      <c r="D54" s="36">
        <v>0</v>
      </c>
      <c r="F54" s="28">
        <f>ROUND(SUMIF(Определители!I9:I16,"=5",'Базовые цены с учетом расхода'!O9:O16),2)</f>
        <v>0</v>
      </c>
      <c r="G54" s="28"/>
      <c r="H54" s="28"/>
      <c r="I54" s="28"/>
      <c r="J54" s="32"/>
      <c r="K54" s="32"/>
      <c r="L54" s="28"/>
    </row>
    <row r="55" spans="1:12" ht="10.5">
      <c r="A55" s="29">
        <v>46</v>
      </c>
      <c r="B55" s="7" t="s">
        <v>110</v>
      </c>
      <c r="C55" s="33" t="s">
        <v>252</v>
      </c>
      <c r="D55" s="36">
        <v>0</v>
      </c>
      <c r="F55" s="28">
        <f>ROUND((F51+F53+F54),2)</f>
        <v>0</v>
      </c>
      <c r="G55" s="28"/>
      <c r="H55" s="28"/>
      <c r="I55" s="28"/>
      <c r="J55" s="32"/>
      <c r="K55" s="32"/>
      <c r="L55" s="28"/>
    </row>
    <row r="56" spans="1:12" ht="10.5">
      <c r="A56" s="29">
        <v>47</v>
      </c>
      <c r="B56" s="7" t="s">
        <v>111</v>
      </c>
      <c r="C56" s="33" t="s">
        <v>251</v>
      </c>
      <c r="D56" s="36">
        <v>0</v>
      </c>
      <c r="F56" s="28">
        <f>ROUND(SUMIF(Определители!I9:I16,"=6",'Базовые цены с учетом расхода'!B9:B16),2)</f>
        <v>0</v>
      </c>
      <c r="G56" s="28">
        <f>ROUND(SUMIF(Определители!I9:I16,"=6",'Базовые цены с учетом расхода'!C9:C16),2)</f>
        <v>0</v>
      </c>
      <c r="H56" s="28">
        <f>ROUND(SUMIF(Определители!I9:I16,"=6",'Базовые цены с учетом расхода'!D9:D16),2)</f>
        <v>0</v>
      </c>
      <c r="I56" s="28">
        <f>ROUND(SUMIF(Определители!I9:I16,"=6",'Базовые цены с учетом расхода'!E9:E16),2)</f>
        <v>0</v>
      </c>
      <c r="J56" s="32">
        <f>ROUND(SUMIF(Определители!I9:I16,"=6",'Базовые цены с учетом расхода'!I9:I16),8)</f>
        <v>0</v>
      </c>
      <c r="K56" s="32">
        <f>ROUND(SUMIF(Определители!I9:I16,"=6",'Базовые цены с учетом расхода'!K9:K16),8)</f>
        <v>0</v>
      </c>
      <c r="L56" s="28">
        <f>ROUND(SUMIF(Определители!I9:I16,"=6",'Базовые цены с учетом расхода'!F9:F16),2)</f>
        <v>0</v>
      </c>
    </row>
    <row r="57" spans="1:12" ht="10.5">
      <c r="A57" s="29">
        <v>48</v>
      </c>
      <c r="B57" s="7" t="s">
        <v>97</v>
      </c>
      <c r="C57" s="33" t="s">
        <v>251</v>
      </c>
      <c r="D57" s="36">
        <v>0</v>
      </c>
      <c r="F57" s="28">
        <f>ROUND(SUMIF(Определители!I9:I16,"=6",'Базовые цены с учетом расхода'!H9:H16),2)</f>
        <v>0</v>
      </c>
      <c r="G57" s="28"/>
      <c r="H57" s="28"/>
      <c r="I57" s="28"/>
      <c r="J57" s="32"/>
      <c r="K57" s="32"/>
      <c r="L57" s="28"/>
    </row>
    <row r="58" spans="1:12" ht="10.5">
      <c r="A58" s="29">
        <v>49</v>
      </c>
      <c r="B58" s="7" t="s">
        <v>98</v>
      </c>
      <c r="C58" s="33" t="s">
        <v>251</v>
      </c>
      <c r="D58" s="36">
        <v>0</v>
      </c>
      <c r="F58" s="28">
        <f>ROUND(SUMIF(Определители!I9:I16,"=6",'Базовые цены с учетом расхода'!N9:N16),2)</f>
        <v>0</v>
      </c>
      <c r="G58" s="28"/>
      <c r="H58" s="28"/>
      <c r="I58" s="28"/>
      <c r="J58" s="32"/>
      <c r="K58" s="32"/>
      <c r="L58" s="28"/>
    </row>
    <row r="59" spans="1:12" ht="10.5">
      <c r="A59" s="29">
        <v>50</v>
      </c>
      <c r="B59" s="7" t="s">
        <v>99</v>
      </c>
      <c r="C59" s="33" t="s">
        <v>251</v>
      </c>
      <c r="D59" s="36">
        <v>0</v>
      </c>
      <c r="F59" s="28">
        <f>ROUND(SUMIF(Определители!I9:I16,"=6",'Базовые цены с учетом расхода'!O9:O16),2)</f>
        <v>0</v>
      </c>
      <c r="G59" s="28"/>
      <c r="H59" s="28"/>
      <c r="I59" s="28"/>
      <c r="J59" s="32"/>
      <c r="K59" s="32"/>
      <c r="L59" s="28"/>
    </row>
    <row r="60" spans="1:12" ht="10.5">
      <c r="A60" s="29">
        <v>51</v>
      </c>
      <c r="B60" s="7" t="s">
        <v>112</v>
      </c>
      <c r="C60" s="33" t="s">
        <v>252</v>
      </c>
      <c r="D60" s="36">
        <v>0</v>
      </c>
      <c r="F60" s="28">
        <f>ROUND((F56+F58+F59),2)</f>
        <v>0</v>
      </c>
      <c r="G60" s="28"/>
      <c r="H60" s="28"/>
      <c r="I60" s="28"/>
      <c r="J60" s="32"/>
      <c r="K60" s="32"/>
      <c r="L60" s="28"/>
    </row>
    <row r="61" spans="1:12" ht="10.5">
      <c r="A61" s="29">
        <v>52</v>
      </c>
      <c r="B61" s="7" t="s">
        <v>113</v>
      </c>
      <c r="C61" s="33" t="s">
        <v>251</v>
      </c>
      <c r="D61" s="36">
        <v>0</v>
      </c>
      <c r="F61" s="28">
        <f>ROUND(SUMIF(Определители!I9:I16,"=7",'Базовые цены с учетом расхода'!B9:B16),2)</f>
        <v>0</v>
      </c>
      <c r="G61" s="28">
        <f>ROUND(SUMIF(Определители!I9:I16,"=7",'Базовые цены с учетом расхода'!C9:C16),2)</f>
        <v>0</v>
      </c>
      <c r="H61" s="28">
        <f>ROUND(SUMIF(Определители!I9:I16,"=7",'Базовые цены с учетом расхода'!D9:D16),2)</f>
        <v>0</v>
      </c>
      <c r="I61" s="28">
        <f>ROUND(SUMIF(Определители!I9:I16,"=7",'Базовые цены с учетом расхода'!E9:E16),2)</f>
        <v>0</v>
      </c>
      <c r="J61" s="32">
        <f>ROUND(SUMIF(Определители!I9:I16,"=7",'Базовые цены с учетом расхода'!I9:I16),8)</f>
        <v>0</v>
      </c>
      <c r="K61" s="32">
        <f>ROUND(SUMIF(Определители!I9:I16,"=7",'Базовые цены с учетом расхода'!K9:K16),8)</f>
        <v>0</v>
      </c>
      <c r="L61" s="28">
        <f>ROUND(SUMIF(Определители!I9:I16,"=7",'Базовые цены с учетом расхода'!F9:F16),2)</f>
        <v>0</v>
      </c>
    </row>
    <row r="62" spans="1:12" ht="10.5">
      <c r="A62" s="29">
        <v>53</v>
      </c>
      <c r="B62" s="7" t="s">
        <v>93</v>
      </c>
      <c r="C62" s="33" t="s">
        <v>251</v>
      </c>
      <c r="D62" s="36">
        <v>0</v>
      </c>
      <c r="F62" s="28"/>
      <c r="G62" s="28"/>
      <c r="H62" s="28"/>
      <c r="I62" s="28"/>
      <c r="J62" s="32"/>
      <c r="K62" s="32"/>
      <c r="L62" s="28"/>
    </row>
    <row r="63" spans="1:12" ht="10.5">
      <c r="A63" s="29">
        <v>54</v>
      </c>
      <c r="B63" s="7" t="s">
        <v>102</v>
      </c>
      <c r="C63" s="33" t="s">
        <v>251</v>
      </c>
      <c r="D63" s="36">
        <v>0</v>
      </c>
      <c r="F63" s="28">
        <f>ROUND(СУММЕСЛИ2(Определители!I9:I16,"2",Определители!G9:G16,"1",'Базовые цены с учетом расхода'!B9:B16),2)</f>
        <v>0</v>
      </c>
      <c r="G63" s="28"/>
      <c r="H63" s="28"/>
      <c r="I63" s="28"/>
      <c r="J63" s="32"/>
      <c r="K63" s="32"/>
      <c r="L63" s="28"/>
    </row>
    <row r="64" spans="1:12" ht="10.5">
      <c r="A64" s="29">
        <v>55</v>
      </c>
      <c r="B64" s="7" t="s">
        <v>97</v>
      </c>
      <c r="C64" s="33" t="s">
        <v>251</v>
      </c>
      <c r="D64" s="36">
        <v>0</v>
      </c>
      <c r="F64" s="28">
        <f>ROUND(SUMIF(Определители!I9:I16,"=7",'Базовые цены с учетом расхода'!H9:H16),2)</f>
        <v>0</v>
      </c>
      <c r="G64" s="28"/>
      <c r="H64" s="28"/>
      <c r="I64" s="28"/>
      <c r="J64" s="32"/>
      <c r="K64" s="32"/>
      <c r="L64" s="28"/>
    </row>
    <row r="65" spans="1:12" ht="10.5">
      <c r="A65" s="29">
        <v>56</v>
      </c>
      <c r="B65" s="7" t="s">
        <v>98</v>
      </c>
      <c r="C65" s="33" t="s">
        <v>251</v>
      </c>
      <c r="D65" s="36">
        <v>0</v>
      </c>
      <c r="F65" s="28">
        <f>ROUND(SUMIF(Определители!I9:I16,"=7",'Базовые цены с учетом расхода'!N9:N16),2)</f>
        <v>0</v>
      </c>
      <c r="G65" s="28"/>
      <c r="H65" s="28"/>
      <c r="I65" s="28"/>
      <c r="J65" s="32"/>
      <c r="K65" s="32"/>
      <c r="L65" s="28"/>
    </row>
    <row r="66" spans="1:12" ht="10.5">
      <c r="A66" s="29">
        <v>57</v>
      </c>
      <c r="B66" s="7" t="s">
        <v>99</v>
      </c>
      <c r="C66" s="33" t="s">
        <v>251</v>
      </c>
      <c r="D66" s="36">
        <v>0</v>
      </c>
      <c r="F66" s="28">
        <f>ROUND(SUMIF(Определители!I9:I16,"=7",'Базовые цены с учетом расхода'!O9:O16),2)</f>
        <v>0</v>
      </c>
      <c r="G66" s="28"/>
      <c r="H66" s="28"/>
      <c r="I66" s="28"/>
      <c r="J66" s="32"/>
      <c r="K66" s="32"/>
      <c r="L66" s="28"/>
    </row>
    <row r="67" spans="1:12" ht="10.5">
      <c r="A67" s="29">
        <v>58</v>
      </c>
      <c r="B67" s="7" t="s">
        <v>114</v>
      </c>
      <c r="C67" s="33" t="s">
        <v>252</v>
      </c>
      <c r="D67" s="36">
        <v>0</v>
      </c>
      <c r="F67" s="28">
        <f>ROUND((F61+F65+F66),2)</f>
        <v>0</v>
      </c>
      <c r="G67" s="28"/>
      <c r="H67" s="28"/>
      <c r="I67" s="28"/>
      <c r="J67" s="32"/>
      <c r="K67" s="32"/>
      <c r="L67" s="28"/>
    </row>
    <row r="68" spans="1:12" ht="10.5">
      <c r="A68" s="29">
        <v>59</v>
      </c>
      <c r="B68" s="7" t="s">
        <v>115</v>
      </c>
      <c r="C68" s="33" t="s">
        <v>251</v>
      </c>
      <c r="D68" s="36">
        <v>0</v>
      </c>
      <c r="F68" s="28">
        <f>ROUND(SUMIF(Определители!I9:I16,"=;",'Базовые цены с учетом расхода'!B9:B16),2)</f>
        <v>0</v>
      </c>
      <c r="G68" s="28">
        <f>ROUND(SUMIF(Определители!I9:I16,"=;",'Базовые цены с учетом расхода'!C9:C16),2)</f>
        <v>0</v>
      </c>
      <c r="H68" s="28">
        <f>ROUND(SUMIF(Определители!I9:I16,"=;",'Базовые цены с учетом расхода'!D9:D16),2)</f>
        <v>0</v>
      </c>
      <c r="I68" s="28">
        <f>ROUND(SUMIF(Определители!I9:I16,"=;",'Базовые цены с учетом расхода'!E9:E16),2)</f>
        <v>0</v>
      </c>
      <c r="J68" s="32">
        <f>ROUND(SUMIF(Определители!I9:I16,"=;",'Базовые цены с учетом расхода'!I9:I16),8)</f>
        <v>0</v>
      </c>
      <c r="K68" s="32">
        <f>ROUND(SUMIF(Определители!I9:I16,"=;",'Базовые цены с учетом расхода'!K9:K16),8)</f>
        <v>0</v>
      </c>
      <c r="L68" s="28">
        <f>ROUND(SUMIF(Определители!I9:I16,"=;",'Базовые цены с учетом расхода'!F9:F16),2)</f>
        <v>0</v>
      </c>
    </row>
    <row r="69" spans="1:12" ht="10.5">
      <c r="A69" s="29">
        <v>60</v>
      </c>
      <c r="B69" s="7" t="s">
        <v>116</v>
      </c>
      <c r="C69" s="33" t="s">
        <v>251</v>
      </c>
      <c r="D69" s="36">
        <v>0</v>
      </c>
      <c r="F69" s="28">
        <f>ROUND(SUMIF(Определители!I9:I16,"=;",'Базовые цены с учетом расхода'!AF9:AF16),2)</f>
        <v>0</v>
      </c>
      <c r="G69" s="28"/>
      <c r="H69" s="28"/>
      <c r="I69" s="28"/>
      <c r="J69" s="32"/>
      <c r="K69" s="32"/>
      <c r="L69" s="28"/>
    </row>
    <row r="70" spans="1:12" ht="10.5">
      <c r="A70" s="29">
        <v>61</v>
      </c>
      <c r="B70" s="7" t="s">
        <v>117</v>
      </c>
      <c r="C70" s="33" t="s">
        <v>251</v>
      </c>
      <c r="D70" s="36">
        <v>0</v>
      </c>
      <c r="F70" s="28">
        <f>ROUND(SUMIF(Определители!I9:I16,"=;",'Базовые цены с учетом расхода'!AG9:AG16),2)</f>
        <v>0</v>
      </c>
      <c r="G70" s="28"/>
      <c r="H70" s="28"/>
      <c r="I70" s="28"/>
      <c r="J70" s="32"/>
      <c r="K70" s="32"/>
      <c r="L70" s="28"/>
    </row>
    <row r="71" spans="1:12" ht="10.5">
      <c r="A71" s="29">
        <v>62</v>
      </c>
      <c r="B71" s="7" t="s">
        <v>98</v>
      </c>
      <c r="C71" s="33" t="s">
        <v>251</v>
      </c>
      <c r="D71" s="36">
        <v>0</v>
      </c>
      <c r="F71" s="28">
        <f>ROUND(SUMIF(Определители!I9:I16,"=;",'Базовые цены с учетом расхода'!N9:N16),2)</f>
        <v>0</v>
      </c>
      <c r="G71" s="28"/>
      <c r="H71" s="28"/>
      <c r="I71" s="28"/>
      <c r="J71" s="32"/>
      <c r="K71" s="32"/>
      <c r="L71" s="28"/>
    </row>
    <row r="72" spans="1:12" ht="10.5">
      <c r="A72" s="29">
        <v>63</v>
      </c>
      <c r="B72" s="7" t="s">
        <v>99</v>
      </c>
      <c r="C72" s="33" t="s">
        <v>251</v>
      </c>
      <c r="D72" s="36">
        <v>0</v>
      </c>
      <c r="F72" s="28">
        <f>ROUND(SUMIF(Определители!I9:I16,"=;",'Базовые цены с учетом расхода'!O9:O16),2)</f>
        <v>0</v>
      </c>
      <c r="G72" s="28"/>
      <c r="H72" s="28"/>
      <c r="I72" s="28"/>
      <c r="J72" s="32"/>
      <c r="K72" s="32"/>
      <c r="L72" s="28"/>
    </row>
    <row r="73" spans="1:12" ht="10.5">
      <c r="A73" s="29">
        <v>64</v>
      </c>
      <c r="B73" s="7" t="s">
        <v>118</v>
      </c>
      <c r="C73" s="33" t="s">
        <v>252</v>
      </c>
      <c r="D73" s="36">
        <v>0</v>
      </c>
      <c r="F73" s="28">
        <f>ROUND((F68+F71+F72),2)</f>
        <v>0</v>
      </c>
      <c r="G73" s="28"/>
      <c r="H73" s="28"/>
      <c r="I73" s="28"/>
      <c r="J73" s="32"/>
      <c r="K73" s="32"/>
      <c r="L73" s="28"/>
    </row>
    <row r="74" spans="1:12" ht="10.5">
      <c r="A74" s="29">
        <v>65</v>
      </c>
      <c r="B74" s="7" t="s">
        <v>119</v>
      </c>
      <c r="C74" s="33" t="s">
        <v>251</v>
      </c>
      <c r="D74" s="36">
        <v>0</v>
      </c>
      <c r="F74" s="28">
        <f>ROUND(SUMIF(Определители!I9:I16,"=9",'Базовые цены с учетом расхода'!B9:B16),2)</f>
        <v>0</v>
      </c>
      <c r="G74" s="28">
        <f>ROUND(SUMIF(Определители!I9:I16,"=9",'Базовые цены с учетом расхода'!C9:C16),2)</f>
        <v>0</v>
      </c>
      <c r="H74" s="28">
        <f>ROUND(SUMIF(Определители!I9:I16,"=9",'Базовые цены с учетом расхода'!D9:D16),2)</f>
        <v>0</v>
      </c>
      <c r="I74" s="28">
        <f>ROUND(SUMIF(Определители!I9:I16,"=9",'Базовые цены с учетом расхода'!E9:E16),2)</f>
        <v>0</v>
      </c>
      <c r="J74" s="32">
        <f>ROUND(SUMIF(Определители!I9:I16,"=9",'Базовые цены с учетом расхода'!I9:I16),8)</f>
        <v>0</v>
      </c>
      <c r="K74" s="32">
        <f>ROUND(SUMIF(Определители!I9:I16,"=9",'Базовые цены с учетом расхода'!K9:K16),8)</f>
        <v>0</v>
      </c>
      <c r="L74" s="28">
        <f>ROUND(SUMIF(Определители!I9:I16,"=9",'Базовые цены с учетом расхода'!F9:F16),2)</f>
        <v>0</v>
      </c>
    </row>
    <row r="75" spans="1:12" ht="10.5">
      <c r="A75" s="29">
        <v>66</v>
      </c>
      <c r="B75" s="7" t="s">
        <v>98</v>
      </c>
      <c r="C75" s="33" t="s">
        <v>251</v>
      </c>
      <c r="D75" s="36">
        <v>0</v>
      </c>
      <c r="F75" s="28">
        <f>ROUND(SUMIF(Определители!I9:I16,"=9",'Базовые цены с учетом расхода'!N9:N16),2)</f>
        <v>0</v>
      </c>
      <c r="G75" s="28"/>
      <c r="H75" s="28"/>
      <c r="I75" s="28"/>
      <c r="J75" s="32"/>
      <c r="K75" s="32"/>
      <c r="L75" s="28"/>
    </row>
    <row r="76" spans="1:12" ht="10.5">
      <c r="A76" s="29">
        <v>67</v>
      </c>
      <c r="B76" s="7" t="s">
        <v>99</v>
      </c>
      <c r="C76" s="33" t="s">
        <v>251</v>
      </c>
      <c r="D76" s="36">
        <v>0</v>
      </c>
      <c r="F76" s="28">
        <f>ROUND(SUMIF(Определители!I9:I16,"=9",'Базовые цены с учетом расхода'!O9:O16),2)</f>
        <v>0</v>
      </c>
      <c r="G76" s="28"/>
      <c r="H76" s="28"/>
      <c r="I76" s="28"/>
      <c r="J76" s="32"/>
      <c r="K76" s="32"/>
      <c r="L76" s="28"/>
    </row>
    <row r="77" spans="1:12" ht="10.5">
      <c r="A77" s="29">
        <v>68</v>
      </c>
      <c r="B77" s="7" t="s">
        <v>120</v>
      </c>
      <c r="C77" s="33" t="s">
        <v>252</v>
      </c>
      <c r="D77" s="36">
        <v>0</v>
      </c>
      <c r="F77" s="28">
        <f>ROUND((F74+F75+F76),2)</f>
        <v>0</v>
      </c>
      <c r="G77" s="28"/>
      <c r="H77" s="28"/>
      <c r="I77" s="28"/>
      <c r="J77" s="32"/>
      <c r="K77" s="32"/>
      <c r="L77" s="28"/>
    </row>
    <row r="78" spans="1:12" ht="10.5">
      <c r="A78" s="29">
        <v>69</v>
      </c>
      <c r="B78" s="7" t="s">
        <v>121</v>
      </c>
      <c r="C78" s="33" t="s">
        <v>251</v>
      </c>
      <c r="D78" s="36">
        <v>0</v>
      </c>
      <c r="F78" s="28">
        <f>ROUND(SUMIF(Определители!I9:I16,"=:",'Базовые цены с учетом расхода'!B9:B16),2)</f>
        <v>0</v>
      </c>
      <c r="G78" s="28">
        <f>ROUND(SUMIF(Определители!I9:I16,"=:",'Базовые цены с учетом расхода'!C9:C16),2)</f>
        <v>0</v>
      </c>
      <c r="H78" s="28">
        <f>ROUND(SUMIF(Определители!I9:I16,"=:",'Базовые цены с учетом расхода'!D9:D16),2)</f>
        <v>0</v>
      </c>
      <c r="I78" s="28">
        <f>ROUND(SUMIF(Определители!I9:I16,"=:",'Базовые цены с учетом расхода'!E9:E16),2)</f>
        <v>0</v>
      </c>
      <c r="J78" s="32">
        <f>ROUND(SUMIF(Определители!I9:I16,"=:",'Базовые цены с учетом расхода'!I9:I16),8)</f>
        <v>0</v>
      </c>
      <c r="K78" s="32">
        <f>ROUND(SUMIF(Определители!I9:I16,"=:",'Базовые цены с учетом расхода'!K9:K16),8)</f>
        <v>0</v>
      </c>
      <c r="L78" s="28">
        <f>ROUND(SUMIF(Определители!I9:I16,"=:",'Базовые цены с учетом расхода'!F9:F16),2)</f>
        <v>0</v>
      </c>
    </row>
    <row r="79" spans="1:12" ht="10.5">
      <c r="A79" s="29">
        <v>70</v>
      </c>
      <c r="B79" s="7" t="s">
        <v>97</v>
      </c>
      <c r="C79" s="33" t="s">
        <v>251</v>
      </c>
      <c r="D79" s="36">
        <v>0</v>
      </c>
      <c r="F79" s="28">
        <f>ROUND(SUMIF(Определители!I9:I16,"=:",'Базовые цены с учетом расхода'!H9:H16),2)</f>
        <v>0</v>
      </c>
      <c r="G79" s="28"/>
      <c r="H79" s="28"/>
      <c r="I79" s="28"/>
      <c r="J79" s="32"/>
      <c r="K79" s="32"/>
      <c r="L79" s="28"/>
    </row>
    <row r="80" spans="1:12" ht="10.5">
      <c r="A80" s="29">
        <v>71</v>
      </c>
      <c r="B80" s="7" t="s">
        <v>98</v>
      </c>
      <c r="C80" s="33" t="s">
        <v>251</v>
      </c>
      <c r="D80" s="36">
        <v>0</v>
      </c>
      <c r="F80" s="28">
        <f>ROUND(SUMIF(Определители!I9:I16,"=:",'Базовые цены с учетом расхода'!N9:N16),2)</f>
        <v>0</v>
      </c>
      <c r="G80" s="28"/>
      <c r="H80" s="28"/>
      <c r="I80" s="28"/>
      <c r="J80" s="32"/>
      <c r="K80" s="32"/>
      <c r="L80" s="28"/>
    </row>
    <row r="81" spans="1:12" ht="10.5">
      <c r="A81" s="29">
        <v>72</v>
      </c>
      <c r="B81" s="7" t="s">
        <v>99</v>
      </c>
      <c r="C81" s="33" t="s">
        <v>251</v>
      </c>
      <c r="D81" s="36">
        <v>0</v>
      </c>
      <c r="F81" s="28">
        <f>ROUND(SUMIF(Определители!I9:I16,"=:",'Базовые цены с учетом расхода'!O9:O16),2)</f>
        <v>0</v>
      </c>
      <c r="G81" s="28"/>
      <c r="H81" s="28"/>
      <c r="I81" s="28"/>
      <c r="J81" s="32"/>
      <c r="K81" s="32"/>
      <c r="L81" s="28"/>
    </row>
    <row r="82" spans="1:12" ht="10.5">
      <c r="A82" s="29">
        <v>73</v>
      </c>
      <c r="B82" s="7" t="s">
        <v>122</v>
      </c>
      <c r="C82" s="33" t="s">
        <v>252</v>
      </c>
      <c r="D82" s="36">
        <v>0</v>
      </c>
      <c r="F82" s="28">
        <f>ROUND((F78+F80+F81),2)</f>
        <v>0</v>
      </c>
      <c r="G82" s="28"/>
      <c r="H82" s="28"/>
      <c r="I82" s="28"/>
      <c r="J82" s="32"/>
      <c r="K82" s="32"/>
      <c r="L82" s="28"/>
    </row>
    <row r="83" spans="1:12" ht="10.5">
      <c r="A83" s="29">
        <v>74</v>
      </c>
      <c r="B83" s="7" t="s">
        <v>123</v>
      </c>
      <c r="C83" s="33" t="s">
        <v>251</v>
      </c>
      <c r="D83" s="36">
        <v>0</v>
      </c>
      <c r="F83" s="28">
        <f>ROUND(SUMIF(Определители!I9:I16,"=8",'Базовые цены с учетом расхода'!B9:B16),2)</f>
        <v>0</v>
      </c>
      <c r="G83" s="28">
        <f>ROUND(SUMIF(Определители!I9:I16,"=8",'Базовые цены с учетом расхода'!C9:C16),2)</f>
        <v>0</v>
      </c>
      <c r="H83" s="28">
        <f>ROUND(SUMIF(Определители!I9:I16,"=8",'Базовые цены с учетом расхода'!D9:D16),2)</f>
        <v>0</v>
      </c>
      <c r="I83" s="28">
        <f>ROUND(SUMIF(Определители!I9:I16,"=8",'Базовые цены с учетом расхода'!E9:E16),2)</f>
        <v>0</v>
      </c>
      <c r="J83" s="32">
        <f>ROUND(SUMIF(Определители!I9:I16,"=8",'Базовые цены с учетом расхода'!I9:I16),8)</f>
        <v>0</v>
      </c>
      <c r="K83" s="32">
        <f>ROUND(SUMIF(Определители!I9:I16,"=8",'Базовые цены с учетом расхода'!K9:K16),8)</f>
        <v>0</v>
      </c>
      <c r="L83" s="28">
        <f>ROUND(SUMIF(Определители!I9:I16,"=8",'Базовые цены с учетом расхода'!F9:F16),2)</f>
        <v>0</v>
      </c>
    </row>
    <row r="84" spans="1:12" ht="10.5">
      <c r="A84" s="29">
        <v>75</v>
      </c>
      <c r="B84" s="7" t="s">
        <v>97</v>
      </c>
      <c r="C84" s="33" t="s">
        <v>251</v>
      </c>
      <c r="D84" s="36">
        <v>0</v>
      </c>
      <c r="F84" s="28">
        <f>ROUND(SUMIF(Определители!I9:I16,"=8",'Базовые цены с учетом расхода'!H9:H16),2)</f>
        <v>0</v>
      </c>
      <c r="G84" s="28"/>
      <c r="H84" s="28"/>
      <c r="I84" s="28"/>
      <c r="J84" s="32"/>
      <c r="K84" s="32"/>
      <c r="L84" s="28"/>
    </row>
    <row r="85" spans="1:12" ht="10.5">
      <c r="A85" s="29">
        <v>76</v>
      </c>
      <c r="B85" s="7" t="s">
        <v>135</v>
      </c>
      <c r="C85" s="33" t="s">
        <v>252</v>
      </c>
      <c r="D85" s="36">
        <v>0</v>
      </c>
      <c r="F85" s="28">
        <f>ROUND((F20+F30+F37+F42+F50+F55+F60+F67+F77+F82+F83+F73),2)</f>
        <v>83309.97</v>
      </c>
      <c r="G85" s="28">
        <f>ROUND((G20+G30+G37+G42+G50+G55+G60+G67+G77+G82+G83+G73),2)</f>
        <v>0</v>
      </c>
      <c r="H85" s="28">
        <f>ROUND((H20+H30+H37+H42+H50+H55+H60+H67+H77+H82+H83+H73),2)</f>
        <v>0</v>
      </c>
      <c r="I85" s="28">
        <f>ROUND((I20+I30+I37+I42+I50+I55+I60+I67+I77+I82+I83+I73),2)</f>
        <v>0</v>
      </c>
      <c r="J85" s="32">
        <f>ROUND((J20+J30+J37+J42+J50+J55+J60+J67+J77+J82+J83+J73),8)</f>
        <v>0</v>
      </c>
      <c r="K85" s="32">
        <f>ROUND((K20+K30+K37+K42+K50+K55+K60+K67+K77+K82+K83+K73),8)</f>
        <v>0</v>
      </c>
      <c r="L85" s="28">
        <f>ROUND((L20+L30+L37+L42+L50+L55+L60+L67+L77+L82+L83+L73),2)</f>
        <v>0</v>
      </c>
    </row>
    <row r="86" spans="1:12" ht="10.5">
      <c r="A86" s="29">
        <v>77</v>
      </c>
      <c r="B86" s="7" t="s">
        <v>124</v>
      </c>
      <c r="C86" s="33" t="s">
        <v>252</v>
      </c>
      <c r="D86" s="36">
        <v>0</v>
      </c>
      <c r="F86" s="28">
        <f>ROUND((F26+F34+F39+F46+F52+F57+F64+F79+F84),2)</f>
        <v>0</v>
      </c>
      <c r="G86" s="28"/>
      <c r="H86" s="28"/>
      <c r="I86" s="28"/>
      <c r="J86" s="32"/>
      <c r="K86" s="32"/>
      <c r="L86" s="28"/>
    </row>
    <row r="87" spans="1:12" ht="10.5">
      <c r="A87" s="29">
        <v>78</v>
      </c>
      <c r="B87" s="7" t="s">
        <v>125</v>
      </c>
      <c r="C87" s="33" t="s">
        <v>252</v>
      </c>
      <c r="D87" s="36">
        <v>0</v>
      </c>
      <c r="F87" s="28">
        <f>ROUND((F27+F35+F40+F47+F53+F58+F65+F75+F80+F71),2)</f>
        <v>250.3</v>
      </c>
      <c r="G87" s="28"/>
      <c r="H87" s="28"/>
      <c r="I87" s="28"/>
      <c r="J87" s="32"/>
      <c r="K87" s="32"/>
      <c r="L87" s="28"/>
    </row>
    <row r="88" spans="1:12" ht="10.5">
      <c r="A88" s="29">
        <v>79</v>
      </c>
      <c r="B88" s="7" t="s">
        <v>126</v>
      </c>
      <c r="C88" s="33" t="s">
        <v>252</v>
      </c>
      <c r="D88" s="36">
        <v>0</v>
      </c>
      <c r="F88" s="28">
        <f>ROUND((F28+F36+F41+F48+F54+F59+F66+F76+F81+F72),2)</f>
        <v>125.95</v>
      </c>
      <c r="G88" s="28"/>
      <c r="H88" s="28"/>
      <c r="I88" s="28"/>
      <c r="J88" s="32"/>
      <c r="K88" s="32"/>
      <c r="L88" s="28"/>
    </row>
    <row r="89" spans="1:12" ht="10.5">
      <c r="A89" s="29">
        <v>80</v>
      </c>
      <c r="B89" s="7" t="s">
        <v>41</v>
      </c>
      <c r="C89" s="33" t="s">
        <v>253</v>
      </c>
      <c r="D89" s="36">
        <v>0</v>
      </c>
      <c r="F89" s="28">
        <f>ROUND(SUM('Базовые цены с учетом расхода'!X9:X16),2)</f>
        <v>0</v>
      </c>
      <c r="G89" s="28"/>
      <c r="H89" s="28"/>
      <c r="I89" s="28"/>
      <c r="J89" s="32"/>
      <c r="K89" s="32"/>
      <c r="L89" s="28">
        <f>ROUND(SUM('Базовые цены с учетом расхода'!X9:X16),2)</f>
        <v>0</v>
      </c>
    </row>
    <row r="90" spans="1:12" ht="10.5">
      <c r="A90" s="29">
        <v>81</v>
      </c>
      <c r="B90" s="7" t="s">
        <v>127</v>
      </c>
      <c r="C90" s="33" t="s">
        <v>253</v>
      </c>
      <c r="D90" s="36">
        <v>0</v>
      </c>
      <c r="F90" s="28">
        <f>ROUND(SUM(G90:N90),2)</f>
        <v>0</v>
      </c>
      <c r="G90" s="28"/>
      <c r="H90" s="28"/>
      <c r="I90" s="28"/>
      <c r="J90" s="32"/>
      <c r="K90" s="32"/>
      <c r="L90" s="28">
        <f>ROUND(SUM('Базовые цены с учетом расхода'!AE9:AE16),2)</f>
        <v>0</v>
      </c>
    </row>
    <row r="91" spans="1:12" ht="10.5">
      <c r="A91" s="29">
        <v>82</v>
      </c>
      <c r="B91" s="7" t="s">
        <v>128</v>
      </c>
      <c r="C91" s="33" t="s">
        <v>253</v>
      </c>
      <c r="D91" s="36">
        <v>0</v>
      </c>
      <c r="F91" s="28">
        <f>ROUND(SUM('Базовые цены с учетом расхода'!C9:C16),2)</f>
        <v>231.52</v>
      </c>
      <c r="G91" s="28"/>
      <c r="H91" s="28"/>
      <c r="I91" s="28"/>
      <c r="J91" s="32"/>
      <c r="K91" s="32"/>
      <c r="L91" s="28"/>
    </row>
    <row r="92" spans="1:12" ht="10.5">
      <c r="A92" s="29">
        <v>83</v>
      </c>
      <c r="B92" s="7" t="s">
        <v>129</v>
      </c>
      <c r="C92" s="33" t="s">
        <v>253</v>
      </c>
      <c r="D92" s="36">
        <v>0</v>
      </c>
      <c r="F92" s="28">
        <f>ROUND(SUM('Базовые цены с учетом расхода'!E9:E16),2)</f>
        <v>7.34</v>
      </c>
      <c r="G92" s="28"/>
      <c r="H92" s="28"/>
      <c r="I92" s="28"/>
      <c r="J92" s="32"/>
      <c r="K92" s="32"/>
      <c r="L92" s="28"/>
    </row>
    <row r="93" spans="1:12" ht="10.5">
      <c r="A93" s="29">
        <v>84</v>
      </c>
      <c r="B93" s="7" t="s">
        <v>130</v>
      </c>
      <c r="C93" s="33" t="s">
        <v>254</v>
      </c>
      <c r="D93" s="36">
        <v>0</v>
      </c>
      <c r="F93" s="28">
        <f>ROUND((F91+F92),2)</f>
        <v>238.86</v>
      </c>
      <c r="G93" s="28"/>
      <c r="H93" s="28"/>
      <c r="I93" s="28"/>
      <c r="J93" s="32"/>
      <c r="K93" s="32"/>
      <c r="L93" s="28"/>
    </row>
    <row r="94" spans="1:12" ht="10.5">
      <c r="A94" s="29">
        <v>85</v>
      </c>
      <c r="B94" s="7" t="s">
        <v>131</v>
      </c>
      <c r="C94" s="33" t="s">
        <v>253</v>
      </c>
      <c r="D94" s="36">
        <v>0</v>
      </c>
      <c r="F94" s="28"/>
      <c r="G94" s="28"/>
      <c r="H94" s="28"/>
      <c r="I94" s="28"/>
      <c r="J94" s="32">
        <f>ROUND(SUM('Базовые цены с учетом расхода'!I9:I16),8)</f>
        <v>26.350425</v>
      </c>
      <c r="K94" s="32"/>
      <c r="L94" s="28"/>
    </row>
    <row r="95" spans="1:12" ht="10.5">
      <c r="A95" s="29">
        <v>86</v>
      </c>
      <c r="B95" s="7" t="s">
        <v>132</v>
      </c>
      <c r="C95" s="33" t="s">
        <v>253</v>
      </c>
      <c r="D95" s="36">
        <v>0</v>
      </c>
      <c r="F95" s="28"/>
      <c r="G95" s="28"/>
      <c r="H95" s="28"/>
      <c r="I95" s="28"/>
      <c r="J95" s="32">
        <f>ROUND(SUM('Базовые цены с учетом расхода'!K9:K16),8)</f>
        <v>0.599795</v>
      </c>
      <c r="K95" s="32"/>
      <c r="L95" s="28"/>
    </row>
    <row r="96" spans="1:12" ht="10.5">
      <c r="A96" s="29">
        <v>87</v>
      </c>
      <c r="B96" s="7" t="s">
        <v>133</v>
      </c>
      <c r="C96" s="33" t="s">
        <v>254</v>
      </c>
      <c r="D96" s="36">
        <v>0</v>
      </c>
      <c r="F96" s="28"/>
      <c r="G96" s="28"/>
      <c r="H96" s="28"/>
      <c r="I96" s="28"/>
      <c r="J96" s="32">
        <f>ROUND((J94+J95),8)</f>
        <v>26.95022</v>
      </c>
      <c r="K96" s="32"/>
      <c r="L96" s="28"/>
    </row>
    <row r="97" spans="1:13" s="30" customFormat="1" ht="10.5">
      <c r="A97" s="5"/>
      <c r="B97" s="30" t="s">
        <v>238</v>
      </c>
      <c r="C97" s="30" t="s">
        <v>239</v>
      </c>
      <c r="D97" s="37" t="s">
        <v>240</v>
      </c>
      <c r="E97" s="30" t="s">
        <v>241</v>
      </c>
      <c r="F97" s="30" t="s">
        <v>242</v>
      </c>
      <c r="G97" s="30" t="s">
        <v>243</v>
      </c>
      <c r="H97" s="30" t="s">
        <v>244</v>
      </c>
      <c r="I97" s="30" t="s">
        <v>245</v>
      </c>
      <c r="J97" s="30" t="s">
        <v>246</v>
      </c>
      <c r="K97" s="30" t="s">
        <v>247</v>
      </c>
      <c r="L97" s="30" t="s">
        <v>248</v>
      </c>
      <c r="M97" s="30" t="s">
        <v>249</v>
      </c>
    </row>
    <row r="98" spans="1:14" ht="10.5">
      <c r="A98" s="29">
        <v>1</v>
      </c>
      <c r="B98" s="7" t="s">
        <v>134</v>
      </c>
      <c r="C98" s="33" t="s">
        <v>250</v>
      </c>
      <c r="D98" s="36">
        <v>0</v>
      </c>
      <c r="E98" s="36"/>
      <c r="F98" s="28">
        <f>ROUND(SUM('Базовые цены с учетом расхода'!B6:B16),2)</f>
        <v>82933.72</v>
      </c>
      <c r="G98" s="28">
        <f>ROUND(SUM('Базовые цены с учетом расхода'!C6:C16),2)</f>
        <v>231.52</v>
      </c>
      <c r="H98" s="28">
        <f>ROUND(SUM('Базовые цены с учетом расхода'!D6:D16),2)</f>
        <v>32.46</v>
      </c>
      <c r="I98" s="28">
        <f>ROUND(SUM('Базовые цены с учетом расхода'!E6:E16),2)</f>
        <v>7.34</v>
      </c>
      <c r="J98" s="32">
        <f>ROUND(SUM('Базовые цены с учетом расхода'!I6:I16),8)</f>
        <v>26.350425</v>
      </c>
      <c r="K98" s="32">
        <f>ROUND(SUM('Базовые цены с учетом расхода'!K6:K16),8)</f>
        <v>0.599795</v>
      </c>
      <c r="L98" s="28">
        <f>ROUND(SUM('Базовые цены с учетом расхода'!F6:F16),2)</f>
        <v>82669.74</v>
      </c>
      <c r="N98" s="33" t="s">
        <v>234</v>
      </c>
    </row>
    <row r="99" spans="1:14" ht="10.5">
      <c r="A99" s="29">
        <v>2</v>
      </c>
      <c r="B99" s="7" t="s">
        <v>82</v>
      </c>
      <c r="C99" s="33" t="s">
        <v>251</v>
      </c>
      <c r="D99" s="36">
        <v>0</v>
      </c>
      <c r="F99" s="28">
        <f>ROUND(SUMIF(Определители!I6:I16,"= ",'Базовые цены с учетом расхода'!B6:B16),2)</f>
        <v>0</v>
      </c>
      <c r="G99" s="28">
        <f>ROUND(SUMIF(Определители!I6:I16,"= ",'Базовые цены с учетом расхода'!C6:C16),2)</f>
        <v>0</v>
      </c>
      <c r="H99" s="28">
        <f>ROUND(SUMIF(Определители!I6:I16,"= ",'Базовые цены с учетом расхода'!D6:D16),2)</f>
        <v>0</v>
      </c>
      <c r="I99" s="28">
        <f>ROUND(SUMIF(Определители!I6:I16,"= ",'Базовые цены с учетом расхода'!E6:E16),2)</f>
        <v>0</v>
      </c>
      <c r="J99" s="32">
        <f>ROUND(SUMIF(Определители!I6:I16,"= ",'Базовые цены с учетом расхода'!I6:I16),8)</f>
        <v>0</v>
      </c>
      <c r="K99" s="32">
        <f>ROUND(SUMIF(Определители!I6:I16,"= ",'Базовые цены с учетом расхода'!K6:K16),8)</f>
        <v>0</v>
      </c>
      <c r="L99" s="28">
        <f>ROUND(SUMIF(Определители!I6:I16,"= ",'Базовые цены с учетом расхода'!F6:F16),2)</f>
        <v>0</v>
      </c>
      <c r="N99" s="33" t="s">
        <v>237</v>
      </c>
    </row>
    <row r="100" spans="1:14" ht="10.5">
      <c r="A100" s="29">
        <v>3</v>
      </c>
      <c r="B100" s="7" t="s">
        <v>83</v>
      </c>
      <c r="C100" s="33" t="s">
        <v>251</v>
      </c>
      <c r="D100" s="36">
        <v>0</v>
      </c>
      <c r="F100" s="28">
        <f>ROUND(СУММПРОИЗВЕСЛИ(0.01,Определители!I6:I16," ",'Базовые цены с учетом расхода'!B6:B16,Начисления!X6:X16,0),2)</f>
        <v>0</v>
      </c>
      <c r="G100" s="28"/>
      <c r="H100" s="28"/>
      <c r="I100" s="28"/>
      <c r="J100" s="32"/>
      <c r="K100" s="32"/>
      <c r="L100" s="28"/>
      <c r="N100" s="33" t="s">
        <v>255</v>
      </c>
    </row>
    <row r="101" spans="1:14" ht="10.5">
      <c r="A101" s="29">
        <v>4</v>
      </c>
      <c r="B101" s="7" t="s">
        <v>84</v>
      </c>
      <c r="C101" s="33" t="s">
        <v>251</v>
      </c>
      <c r="D101" s="36">
        <v>0</v>
      </c>
      <c r="F101" s="28">
        <f>ROUND(СУММПРОИЗВЕСЛИ(0.01,Определители!I6:I16," ",'Базовые цены с учетом расхода'!B6:B16,Начисления!Y6:Y16,0),2)</f>
        <v>0</v>
      </c>
      <c r="G101" s="28"/>
      <c r="H101" s="28"/>
      <c r="I101" s="28"/>
      <c r="J101" s="32"/>
      <c r="K101" s="32"/>
      <c r="L101" s="28"/>
      <c r="N101" s="33" t="s">
        <v>256</v>
      </c>
    </row>
    <row r="102" spans="1:14" ht="10.5">
      <c r="A102" s="29">
        <v>5</v>
      </c>
      <c r="B102" s="7" t="s">
        <v>85</v>
      </c>
      <c r="C102" s="33" t="s">
        <v>251</v>
      </c>
      <c r="D102" s="36">
        <v>0</v>
      </c>
      <c r="F102" s="28">
        <f>ROUND(ТРАНСПРАСХОД(Определители!B6:B16,Определители!H6:H16,Определители!I6:I16,'Базовые цены с учетом расхода'!B6:B16,Начисления!Z6:Z16,Начисления!AA6:AA16),2)</f>
        <v>0</v>
      </c>
      <c r="G102" s="28"/>
      <c r="H102" s="28"/>
      <c r="I102" s="28"/>
      <c r="J102" s="32"/>
      <c r="K102" s="32"/>
      <c r="L102" s="28"/>
      <c r="N102" s="33" t="s">
        <v>257</v>
      </c>
    </row>
    <row r="103" spans="1:14" ht="10.5">
      <c r="A103" s="29">
        <v>6</v>
      </c>
      <c r="B103" s="7" t="s">
        <v>86</v>
      </c>
      <c r="C103" s="33" t="s">
        <v>251</v>
      </c>
      <c r="D103" s="36">
        <v>0</v>
      </c>
      <c r="F103" s="28">
        <f>ROUND(СУММПРОИЗВЕСЛИ(0.01,Определители!I6:I16," ",'Базовые цены с учетом расхода'!B6:B16,Начисления!AC6:AC16,0),2)</f>
        <v>0</v>
      </c>
      <c r="G103" s="28"/>
      <c r="H103" s="28"/>
      <c r="I103" s="28"/>
      <c r="J103" s="32"/>
      <c r="K103" s="32"/>
      <c r="L103" s="28"/>
      <c r="N103" s="33" t="s">
        <v>258</v>
      </c>
    </row>
    <row r="104" spans="1:14" ht="10.5">
      <c r="A104" s="29">
        <v>7</v>
      </c>
      <c r="B104" s="7" t="s">
        <v>87</v>
      </c>
      <c r="C104" s="33" t="s">
        <v>251</v>
      </c>
      <c r="D104" s="36">
        <v>0</v>
      </c>
      <c r="F104" s="28">
        <f>ROUND(СУММПРОИЗВЕСЛИ(0.01,Определители!I6:I16," ",'Базовые цены с учетом расхода'!B6:B16,Начисления!AF6:AF16,0),2)</f>
        <v>0</v>
      </c>
      <c r="G104" s="28"/>
      <c r="H104" s="28"/>
      <c r="I104" s="28"/>
      <c r="J104" s="32"/>
      <c r="K104" s="32"/>
      <c r="L104" s="28"/>
      <c r="N104" s="33" t="s">
        <v>259</v>
      </c>
    </row>
    <row r="105" spans="1:14" ht="10.5">
      <c r="A105" s="29">
        <v>8</v>
      </c>
      <c r="B105" s="7" t="s">
        <v>88</v>
      </c>
      <c r="C105" s="33" t="s">
        <v>251</v>
      </c>
      <c r="D105" s="36">
        <v>0</v>
      </c>
      <c r="F105" s="28">
        <f>ROUND(ЗАГОТСКЛАДРАСХОД(Определители!B6:B16,Определители!H6:H16,Определители!I6:I16,'Базовые цены с учетом расхода'!B6:B16,Начисления!X6:X16,Начисления!Y6:Y16,Начисления!Z6:Z16,Начисления!AA6:AA16,Начисления!AB6:AB16,Начисления!AC6:AC16,Начисления!AF6:AF16),2)</f>
        <v>0</v>
      </c>
      <c r="G105" s="28"/>
      <c r="H105" s="28"/>
      <c r="I105" s="28"/>
      <c r="J105" s="32"/>
      <c r="K105" s="32"/>
      <c r="L105" s="28"/>
      <c r="N105" s="33" t="s">
        <v>260</v>
      </c>
    </row>
    <row r="106" spans="1:14" ht="10.5">
      <c r="A106" s="29">
        <v>9</v>
      </c>
      <c r="B106" s="7" t="s">
        <v>89</v>
      </c>
      <c r="C106" s="33" t="s">
        <v>251</v>
      </c>
      <c r="D106" s="36">
        <v>0</v>
      </c>
      <c r="F106" s="28">
        <f>ROUND(СУММПРОИЗВЕСЛИ(1,Определители!I6:I16," ",'Базовые цены с учетом расхода'!M6:M16,Начисления!I6:I16,0),2)</f>
        <v>0</v>
      </c>
      <c r="G106" s="28"/>
      <c r="H106" s="28"/>
      <c r="I106" s="28"/>
      <c r="J106" s="32"/>
      <c r="K106" s="32"/>
      <c r="L106" s="28"/>
      <c r="N106" s="33" t="s">
        <v>261</v>
      </c>
    </row>
    <row r="107" spans="1:14" ht="10.5">
      <c r="A107" s="29">
        <v>10</v>
      </c>
      <c r="B107" s="7" t="s">
        <v>90</v>
      </c>
      <c r="C107" s="33" t="s">
        <v>252</v>
      </c>
      <c r="D107" s="36">
        <v>0</v>
      </c>
      <c r="F107" s="28">
        <f>ROUND((F106+F117+F137),2)</f>
        <v>0</v>
      </c>
      <c r="G107" s="28"/>
      <c r="H107" s="28"/>
      <c r="I107" s="28"/>
      <c r="J107" s="32"/>
      <c r="K107" s="32"/>
      <c r="L107" s="28"/>
      <c r="N107" s="33" t="s">
        <v>262</v>
      </c>
    </row>
    <row r="108" spans="1:14" ht="10.5">
      <c r="A108" s="29">
        <v>11</v>
      </c>
      <c r="B108" s="7" t="s">
        <v>91</v>
      </c>
      <c r="C108" s="33" t="s">
        <v>252</v>
      </c>
      <c r="D108" s="36">
        <v>0</v>
      </c>
      <c r="F108" s="28">
        <f>ROUND((F99+F100+F101+F102+F103+F104+F105+F107),2)</f>
        <v>0</v>
      </c>
      <c r="G108" s="28"/>
      <c r="H108" s="28"/>
      <c r="I108" s="28"/>
      <c r="J108" s="32"/>
      <c r="K108" s="32"/>
      <c r="L108" s="28"/>
      <c r="N108" s="33" t="s">
        <v>263</v>
      </c>
    </row>
    <row r="109" spans="1:14" ht="10.5">
      <c r="A109" s="29">
        <v>12</v>
      </c>
      <c r="B109" s="7" t="s">
        <v>92</v>
      </c>
      <c r="C109" s="33" t="s">
        <v>251</v>
      </c>
      <c r="D109" s="36">
        <v>0</v>
      </c>
      <c r="F109" s="28">
        <f>ROUND(SUMIF(Определители!I6:I16,"=1",'Базовые цены с учетом расхода'!B6:B16),2)</f>
        <v>0</v>
      </c>
      <c r="G109" s="28">
        <f>ROUND(SUMIF(Определители!I6:I16,"=1",'Базовые цены с учетом расхода'!C6:C16),2)</f>
        <v>0</v>
      </c>
      <c r="H109" s="28">
        <f>ROUND(SUMIF(Определители!I6:I16,"=1",'Базовые цены с учетом расхода'!D6:D16),2)</f>
        <v>0</v>
      </c>
      <c r="I109" s="28">
        <f>ROUND(SUMIF(Определители!I6:I16,"=1",'Базовые цены с учетом расхода'!E6:E16),2)</f>
        <v>0</v>
      </c>
      <c r="J109" s="32">
        <f>ROUND(SUMIF(Определители!I6:I16,"=1",'Базовые цены с учетом расхода'!I6:I16),8)</f>
        <v>0</v>
      </c>
      <c r="K109" s="32">
        <f>ROUND(SUMIF(Определители!I6:I16,"=1",'Базовые цены с учетом расхода'!K6:K16),8)</f>
        <v>0</v>
      </c>
      <c r="L109" s="28">
        <f>ROUND(SUMIF(Определители!I6:I16,"=1",'Базовые цены с учетом расхода'!F6:F16),2)</f>
        <v>0</v>
      </c>
      <c r="N109" s="33" t="s">
        <v>264</v>
      </c>
    </row>
    <row r="110" spans="1:14" ht="10.5">
      <c r="A110" s="29">
        <v>13</v>
      </c>
      <c r="B110" s="7" t="s">
        <v>93</v>
      </c>
      <c r="C110" s="33" t="s">
        <v>251</v>
      </c>
      <c r="D110" s="36">
        <v>0</v>
      </c>
      <c r="F110" s="28"/>
      <c r="G110" s="28"/>
      <c r="H110" s="28"/>
      <c r="I110" s="28"/>
      <c r="J110" s="32"/>
      <c r="K110" s="32"/>
      <c r="L110" s="28"/>
      <c r="N110" s="33" t="s">
        <v>265</v>
      </c>
    </row>
    <row r="111" spans="1:14" ht="10.5">
      <c r="A111" s="29">
        <v>14</v>
      </c>
      <c r="B111" s="7" t="s">
        <v>94</v>
      </c>
      <c r="C111" s="33" t="s">
        <v>251</v>
      </c>
      <c r="D111" s="36">
        <v>0</v>
      </c>
      <c r="F111" s="28"/>
      <c r="G111" s="28">
        <f>ROUND(SUMIF(Определители!I6:I16,"=1",'Базовые цены с учетом расхода'!T6:T16),2)</f>
        <v>0</v>
      </c>
      <c r="H111" s="28"/>
      <c r="I111" s="28"/>
      <c r="J111" s="32"/>
      <c r="K111" s="32"/>
      <c r="L111" s="28"/>
      <c r="N111" s="33" t="s">
        <v>266</v>
      </c>
    </row>
    <row r="112" spans="1:14" ht="10.5">
      <c r="A112" s="29">
        <v>15</v>
      </c>
      <c r="B112" s="7" t="s">
        <v>95</v>
      </c>
      <c r="C112" s="33" t="s">
        <v>251</v>
      </c>
      <c r="D112" s="36">
        <v>0</v>
      </c>
      <c r="F112" s="28">
        <f>ROUND(SUMIF(Определители!I6:I16,"=1",'Базовые цены с учетом расхода'!U6:U16),2)</f>
        <v>0</v>
      </c>
      <c r="G112" s="28"/>
      <c r="H112" s="28"/>
      <c r="I112" s="28"/>
      <c r="J112" s="32"/>
      <c r="K112" s="32"/>
      <c r="L112" s="28"/>
      <c r="N112" s="33" t="s">
        <v>267</v>
      </c>
    </row>
    <row r="113" spans="1:14" ht="10.5">
      <c r="A113" s="29">
        <v>16</v>
      </c>
      <c r="B113" s="7" t="s">
        <v>96</v>
      </c>
      <c r="C113" s="33" t="s">
        <v>251</v>
      </c>
      <c r="D113" s="36">
        <v>0</v>
      </c>
      <c r="F113" s="28">
        <f>ROUND(СУММЕСЛИ2(Определители!I6:I16,"1",Определители!G6:G16,"1",'Базовые цены с учетом расхода'!B6:B16),2)</f>
        <v>0</v>
      </c>
      <c r="G113" s="28"/>
      <c r="H113" s="28"/>
      <c r="I113" s="28"/>
      <c r="J113" s="32"/>
      <c r="K113" s="32"/>
      <c r="L113" s="28"/>
      <c r="N113" s="33" t="s">
        <v>268</v>
      </c>
    </row>
    <row r="114" spans="1:14" ht="10.5">
      <c r="A114" s="29">
        <v>17</v>
      </c>
      <c r="B114" s="7" t="s">
        <v>97</v>
      </c>
      <c r="C114" s="33" t="s">
        <v>251</v>
      </c>
      <c r="D114" s="36">
        <v>0</v>
      </c>
      <c r="F114" s="28">
        <f>ROUND(SUMIF(Определители!I6:I16,"=1",'Базовые цены с учетом расхода'!H6:H16),2)</f>
        <v>0</v>
      </c>
      <c r="G114" s="28"/>
      <c r="H114" s="28"/>
      <c r="I114" s="28"/>
      <c r="J114" s="32"/>
      <c r="K114" s="32"/>
      <c r="L114" s="28"/>
      <c r="N114" s="33" t="s">
        <v>269</v>
      </c>
    </row>
    <row r="115" spans="1:14" ht="10.5">
      <c r="A115" s="29">
        <v>18</v>
      </c>
      <c r="B115" s="7" t="s">
        <v>98</v>
      </c>
      <c r="C115" s="33" t="s">
        <v>251</v>
      </c>
      <c r="D115" s="36">
        <v>0</v>
      </c>
      <c r="F115" s="28">
        <f>ROUND(SUMIF(Определители!I6:I16,"=1",'Базовые цены с учетом расхода'!N6:N16),2)</f>
        <v>0</v>
      </c>
      <c r="G115" s="28"/>
      <c r="H115" s="28"/>
      <c r="I115" s="28"/>
      <c r="J115" s="32"/>
      <c r="K115" s="32"/>
      <c r="L115" s="28"/>
      <c r="N115" s="33" t="s">
        <v>270</v>
      </c>
    </row>
    <row r="116" spans="1:14" ht="10.5">
      <c r="A116" s="29">
        <v>19</v>
      </c>
      <c r="B116" s="7" t="s">
        <v>99</v>
      </c>
      <c r="C116" s="33" t="s">
        <v>251</v>
      </c>
      <c r="D116" s="36">
        <v>0</v>
      </c>
      <c r="F116" s="28">
        <f>ROUND(SUMIF(Определители!I6:I16,"=1",'Базовые цены с учетом расхода'!O6:O16),2)</f>
        <v>0</v>
      </c>
      <c r="G116" s="28"/>
      <c r="H116" s="28"/>
      <c r="I116" s="28"/>
      <c r="J116" s="32"/>
      <c r="K116" s="32"/>
      <c r="L116" s="28"/>
      <c r="N116" s="33" t="s">
        <v>271</v>
      </c>
    </row>
    <row r="117" spans="1:14" ht="10.5">
      <c r="A117" s="29">
        <v>20</v>
      </c>
      <c r="B117" s="7" t="s">
        <v>90</v>
      </c>
      <c r="C117" s="33" t="s">
        <v>251</v>
      </c>
      <c r="D117" s="36">
        <v>0</v>
      </c>
      <c r="F117" s="28">
        <f>ROUND(СУММПРОИЗВЕСЛИ(1,Определители!I6:I16," ",'Базовые цены с учетом расхода'!M6:M16,Начисления!I6:I16,0),2)</f>
        <v>0</v>
      </c>
      <c r="G117" s="28"/>
      <c r="H117" s="28"/>
      <c r="I117" s="28"/>
      <c r="J117" s="32"/>
      <c r="K117" s="32"/>
      <c r="L117" s="28"/>
      <c r="N117" s="33" t="s">
        <v>272</v>
      </c>
    </row>
    <row r="118" spans="1:14" ht="10.5">
      <c r="A118" s="29">
        <v>21</v>
      </c>
      <c r="B118" s="7" t="s">
        <v>100</v>
      </c>
      <c r="C118" s="33" t="s">
        <v>252</v>
      </c>
      <c r="D118" s="36">
        <v>0</v>
      </c>
      <c r="F118" s="28">
        <f>ROUND((F109+F115+F116),2)</f>
        <v>0</v>
      </c>
      <c r="G118" s="28"/>
      <c r="H118" s="28"/>
      <c r="I118" s="28"/>
      <c r="J118" s="32"/>
      <c r="K118" s="32"/>
      <c r="L118" s="28"/>
      <c r="N118" s="33" t="s">
        <v>273</v>
      </c>
    </row>
    <row r="119" spans="1:14" ht="10.5">
      <c r="A119" s="29">
        <v>22</v>
      </c>
      <c r="B119" s="7" t="s">
        <v>101</v>
      </c>
      <c r="C119" s="33" t="s">
        <v>251</v>
      </c>
      <c r="D119" s="36">
        <v>0</v>
      </c>
      <c r="F119" s="28">
        <f>ROUND(SUMIF(Определители!I6:I16,"=2",'Базовые цены с учетом расхода'!B6:B16),2)</f>
        <v>82933.72</v>
      </c>
      <c r="G119" s="28">
        <f>ROUND(SUMIF(Определители!I6:I16,"=2",'Базовые цены с учетом расхода'!C6:C16),2)</f>
        <v>231.52</v>
      </c>
      <c r="H119" s="28">
        <f>ROUND(SUMIF(Определители!I6:I16,"=2",'Базовые цены с учетом расхода'!D6:D16),2)</f>
        <v>32.46</v>
      </c>
      <c r="I119" s="28">
        <f>ROUND(SUMIF(Определители!I6:I16,"=2",'Базовые цены с учетом расхода'!E6:E16),2)</f>
        <v>7.34</v>
      </c>
      <c r="J119" s="32">
        <f>ROUND(SUMIF(Определители!I6:I16,"=2",'Базовые цены с учетом расхода'!I6:I16),8)</f>
        <v>26.350425</v>
      </c>
      <c r="K119" s="32">
        <f>ROUND(SUMIF(Определители!I6:I16,"=2",'Базовые цены с учетом расхода'!K6:K16),8)</f>
        <v>0.599795</v>
      </c>
      <c r="L119" s="28">
        <f>ROUND(SUMIF(Определители!I6:I16,"=2",'Базовые цены с учетом расхода'!F6:F16),2)</f>
        <v>82669.74</v>
      </c>
      <c r="N119" s="33" t="s">
        <v>274</v>
      </c>
    </row>
    <row r="120" spans="1:14" ht="10.5">
      <c r="A120" s="29">
        <v>23</v>
      </c>
      <c r="B120" s="7" t="s">
        <v>93</v>
      </c>
      <c r="C120" s="33" t="s">
        <v>251</v>
      </c>
      <c r="D120" s="36">
        <v>0</v>
      </c>
      <c r="F120" s="28"/>
      <c r="G120" s="28"/>
      <c r="H120" s="28"/>
      <c r="I120" s="28"/>
      <c r="J120" s="32"/>
      <c r="K120" s="32"/>
      <c r="L120" s="28"/>
      <c r="N120" s="33" t="s">
        <v>275</v>
      </c>
    </row>
    <row r="121" spans="1:14" ht="10.5">
      <c r="A121" s="29">
        <v>24</v>
      </c>
      <c r="B121" s="7" t="s">
        <v>102</v>
      </c>
      <c r="C121" s="33" t="s">
        <v>251</v>
      </c>
      <c r="D121" s="36">
        <v>0</v>
      </c>
      <c r="F121" s="28">
        <f>ROUND(СУММЕСЛИ2(Определители!I6:I16,"2",Определители!G6:G16,"1",'Базовые цены с учетом расхода'!B6:B16),2)</f>
        <v>0</v>
      </c>
      <c r="G121" s="28"/>
      <c r="H121" s="28"/>
      <c r="I121" s="28"/>
      <c r="J121" s="32"/>
      <c r="K121" s="32"/>
      <c r="L121" s="28"/>
      <c r="N121" s="33" t="s">
        <v>276</v>
      </c>
    </row>
    <row r="122" spans="1:14" ht="10.5">
      <c r="A122" s="29">
        <v>25</v>
      </c>
      <c r="B122" s="7" t="s">
        <v>97</v>
      </c>
      <c r="C122" s="33" t="s">
        <v>251</v>
      </c>
      <c r="D122" s="36">
        <v>0</v>
      </c>
      <c r="F122" s="28">
        <f>ROUND(SUMIF(Определители!I6:I16,"=2",'Базовые цены с учетом расхода'!H6:H16),2)</f>
        <v>0</v>
      </c>
      <c r="G122" s="28"/>
      <c r="H122" s="28"/>
      <c r="I122" s="28"/>
      <c r="J122" s="32"/>
      <c r="K122" s="32"/>
      <c r="L122" s="28"/>
      <c r="N122" s="33" t="s">
        <v>277</v>
      </c>
    </row>
    <row r="123" spans="1:14" ht="10.5">
      <c r="A123" s="29">
        <v>26</v>
      </c>
      <c r="B123" s="7" t="s">
        <v>98</v>
      </c>
      <c r="C123" s="33" t="s">
        <v>251</v>
      </c>
      <c r="D123" s="36">
        <v>0</v>
      </c>
      <c r="F123" s="28">
        <f>ROUND(SUMIF(Определители!I6:I16,"=2",'Базовые цены с учетом расхода'!N6:N16),2)</f>
        <v>250.3</v>
      </c>
      <c r="G123" s="28"/>
      <c r="H123" s="28"/>
      <c r="I123" s="28"/>
      <c r="J123" s="32"/>
      <c r="K123" s="32"/>
      <c r="L123" s="28"/>
      <c r="N123" s="33" t="s">
        <v>278</v>
      </c>
    </row>
    <row r="124" spans="1:14" ht="10.5">
      <c r="A124" s="29">
        <v>27</v>
      </c>
      <c r="B124" s="7" t="s">
        <v>99</v>
      </c>
      <c r="C124" s="33" t="s">
        <v>251</v>
      </c>
      <c r="D124" s="36">
        <v>0</v>
      </c>
      <c r="F124" s="28">
        <f>ROUND(SUMIF(Определители!I6:I16,"=2",'Базовые цены с учетом расхода'!O6:O16),2)</f>
        <v>125.95</v>
      </c>
      <c r="G124" s="28"/>
      <c r="H124" s="28"/>
      <c r="I124" s="28"/>
      <c r="J124" s="32"/>
      <c r="K124" s="32"/>
      <c r="L124" s="28"/>
      <c r="N124" s="33" t="s">
        <v>279</v>
      </c>
    </row>
    <row r="125" spans="1:14" ht="10.5">
      <c r="A125" s="29">
        <v>28</v>
      </c>
      <c r="B125" s="7" t="s">
        <v>103</v>
      </c>
      <c r="C125" s="33" t="s">
        <v>252</v>
      </c>
      <c r="D125" s="36">
        <v>0</v>
      </c>
      <c r="F125" s="28">
        <f>ROUND((F119+F123+F124),2)</f>
        <v>83309.97</v>
      </c>
      <c r="G125" s="28"/>
      <c r="H125" s="28"/>
      <c r="I125" s="28"/>
      <c r="J125" s="32"/>
      <c r="K125" s="32"/>
      <c r="L125" s="28"/>
      <c r="N125" s="33" t="s">
        <v>280</v>
      </c>
    </row>
    <row r="126" spans="1:14" ht="10.5">
      <c r="A126" s="29">
        <v>29</v>
      </c>
      <c r="B126" s="7" t="s">
        <v>104</v>
      </c>
      <c r="C126" s="33" t="s">
        <v>251</v>
      </c>
      <c r="D126" s="36">
        <v>0</v>
      </c>
      <c r="F126" s="28">
        <f>ROUND(SUMIF(Определители!I6:I16,"=3",'Базовые цены с учетом расхода'!B6:B16),2)</f>
        <v>0</v>
      </c>
      <c r="G126" s="28">
        <f>ROUND(SUMIF(Определители!I6:I16,"=3",'Базовые цены с учетом расхода'!C6:C16),2)</f>
        <v>0</v>
      </c>
      <c r="H126" s="28">
        <f>ROUND(SUMIF(Определители!I6:I16,"=3",'Базовые цены с учетом расхода'!D6:D16),2)</f>
        <v>0</v>
      </c>
      <c r="I126" s="28">
        <f>ROUND(SUMIF(Определители!I6:I16,"=3",'Базовые цены с учетом расхода'!E6:E16),2)</f>
        <v>0</v>
      </c>
      <c r="J126" s="32">
        <f>ROUND(SUMIF(Определители!I6:I16,"=3",'Базовые цены с учетом расхода'!I6:I16),8)</f>
        <v>0</v>
      </c>
      <c r="K126" s="32">
        <f>ROUND(SUMIF(Определители!I6:I16,"=3",'Базовые цены с учетом расхода'!K6:K16),8)</f>
        <v>0</v>
      </c>
      <c r="L126" s="28">
        <f>ROUND(SUMIF(Определители!I6:I16,"=3",'Базовые цены с учетом расхода'!F6:F16),2)</f>
        <v>0</v>
      </c>
      <c r="N126" s="33" t="s">
        <v>281</v>
      </c>
    </row>
    <row r="127" spans="1:14" ht="10.5">
      <c r="A127" s="29">
        <v>30</v>
      </c>
      <c r="B127" s="7" t="s">
        <v>97</v>
      </c>
      <c r="C127" s="33" t="s">
        <v>251</v>
      </c>
      <c r="D127" s="36">
        <v>0</v>
      </c>
      <c r="F127" s="28">
        <f>ROUND(SUMIF(Определители!I6:I16,"=3",'Базовые цены с учетом расхода'!H6:H16),2)</f>
        <v>0</v>
      </c>
      <c r="G127" s="28"/>
      <c r="H127" s="28"/>
      <c r="I127" s="28"/>
      <c r="J127" s="32"/>
      <c r="K127" s="32"/>
      <c r="L127" s="28"/>
      <c r="N127" s="33" t="s">
        <v>282</v>
      </c>
    </row>
    <row r="128" spans="1:14" ht="10.5">
      <c r="A128" s="29">
        <v>31</v>
      </c>
      <c r="B128" s="7" t="s">
        <v>98</v>
      </c>
      <c r="C128" s="33" t="s">
        <v>251</v>
      </c>
      <c r="D128" s="36">
        <v>0</v>
      </c>
      <c r="F128" s="28">
        <f>ROUND(SUMIF(Определители!I6:I16,"=3",'Базовые цены с учетом расхода'!N6:N16),2)</f>
        <v>0</v>
      </c>
      <c r="G128" s="28"/>
      <c r="H128" s="28"/>
      <c r="I128" s="28"/>
      <c r="J128" s="32"/>
      <c r="K128" s="32"/>
      <c r="L128" s="28"/>
      <c r="N128" s="33" t="s">
        <v>283</v>
      </c>
    </row>
    <row r="129" spans="1:14" ht="10.5">
      <c r="A129" s="29">
        <v>32</v>
      </c>
      <c r="B129" s="7" t="s">
        <v>99</v>
      </c>
      <c r="C129" s="33" t="s">
        <v>251</v>
      </c>
      <c r="D129" s="36">
        <v>0</v>
      </c>
      <c r="F129" s="28">
        <f>ROUND(SUMIF(Определители!I6:I16,"=3",'Базовые цены с учетом расхода'!O6:O16),2)</f>
        <v>0</v>
      </c>
      <c r="G129" s="28"/>
      <c r="H129" s="28"/>
      <c r="I129" s="28"/>
      <c r="J129" s="32"/>
      <c r="K129" s="32"/>
      <c r="L129" s="28"/>
      <c r="N129" s="33" t="s">
        <v>284</v>
      </c>
    </row>
    <row r="130" spans="1:14" ht="10.5">
      <c r="A130" s="29">
        <v>33</v>
      </c>
      <c r="B130" s="7" t="s">
        <v>105</v>
      </c>
      <c r="C130" s="33" t="s">
        <v>252</v>
      </c>
      <c r="D130" s="36">
        <v>0</v>
      </c>
      <c r="F130" s="28">
        <f>ROUND((F126+F128+F129),2)</f>
        <v>0</v>
      </c>
      <c r="G130" s="28"/>
      <c r="H130" s="28"/>
      <c r="I130" s="28"/>
      <c r="J130" s="32"/>
      <c r="K130" s="32"/>
      <c r="L130" s="28"/>
      <c r="N130" s="33" t="s">
        <v>285</v>
      </c>
    </row>
    <row r="131" spans="1:14" ht="10.5">
      <c r="A131" s="29">
        <v>34</v>
      </c>
      <c r="B131" s="7" t="s">
        <v>106</v>
      </c>
      <c r="C131" s="33" t="s">
        <v>251</v>
      </c>
      <c r="D131" s="36">
        <v>0</v>
      </c>
      <c r="F131" s="28">
        <f>ROUND(SUMIF(Определители!I6:I16,"=4",'Базовые цены с учетом расхода'!B6:B16),2)</f>
        <v>0</v>
      </c>
      <c r="G131" s="28">
        <f>ROUND(SUMIF(Определители!I6:I16,"=4",'Базовые цены с учетом расхода'!C6:C16),2)</f>
        <v>0</v>
      </c>
      <c r="H131" s="28">
        <f>ROUND(SUMIF(Определители!I6:I16,"=4",'Базовые цены с учетом расхода'!D6:D16),2)</f>
        <v>0</v>
      </c>
      <c r="I131" s="28">
        <f>ROUND(SUMIF(Определители!I6:I16,"=4",'Базовые цены с учетом расхода'!E6:E16),2)</f>
        <v>0</v>
      </c>
      <c r="J131" s="32">
        <f>ROUND(SUMIF(Определители!I6:I16,"=4",'Базовые цены с учетом расхода'!I6:I16),8)</f>
        <v>0</v>
      </c>
      <c r="K131" s="32">
        <f>ROUND(SUMIF(Определители!I6:I16,"=4",'Базовые цены с учетом расхода'!K6:K16),8)</f>
        <v>0</v>
      </c>
      <c r="L131" s="28">
        <f>ROUND(SUMIF(Определители!I6:I16,"=4",'Базовые цены с учетом расхода'!F6:F16),2)</f>
        <v>0</v>
      </c>
      <c r="N131" s="33" t="s">
        <v>286</v>
      </c>
    </row>
    <row r="132" spans="1:14" ht="10.5">
      <c r="A132" s="29">
        <v>35</v>
      </c>
      <c r="B132" s="7" t="s">
        <v>93</v>
      </c>
      <c r="C132" s="33" t="s">
        <v>251</v>
      </c>
      <c r="D132" s="36">
        <v>0</v>
      </c>
      <c r="F132" s="28"/>
      <c r="G132" s="28"/>
      <c r="H132" s="28"/>
      <c r="I132" s="28"/>
      <c r="J132" s="32"/>
      <c r="K132" s="32"/>
      <c r="L132" s="28"/>
      <c r="N132" s="33" t="s">
        <v>287</v>
      </c>
    </row>
    <row r="133" spans="1:14" ht="10.5">
      <c r="A133" s="29">
        <v>36</v>
      </c>
      <c r="B133" s="7" t="s">
        <v>107</v>
      </c>
      <c r="C133" s="33" t="s">
        <v>251</v>
      </c>
      <c r="D133" s="36">
        <v>0</v>
      </c>
      <c r="F133" s="28">
        <f>ROUND(SUMIF(Определители!I6:I16,"=4",'Базовые цены с учетом расхода'!AJ6:AJ16),2)</f>
        <v>0</v>
      </c>
      <c r="G133" s="28">
        <f>ROUND(SUMIF(Определители!I6:I16,"=4",'Базовые цены с учетом расхода'!AI6:AI16),2)</f>
        <v>0</v>
      </c>
      <c r="H133" s="28">
        <f>ROUND(SUMIF(Определители!I6:I16,"=4",'Базовые цены с учетом расхода'!AH6:AH16),2)</f>
        <v>0</v>
      </c>
      <c r="I133" s="28">
        <f>ROUND(SUMIF(Определители!I6:I16,"=4",'Базовые цены с учетом расхода'!V6:V16),2)</f>
        <v>0</v>
      </c>
      <c r="J133" s="32"/>
      <c r="K133" s="32"/>
      <c r="L133" s="28"/>
      <c r="N133" s="33" t="s">
        <v>288</v>
      </c>
    </row>
    <row r="134" spans="1:14" ht="10.5">
      <c r="A134" s="29">
        <v>37</v>
      </c>
      <c r="B134" s="7" t="s">
        <v>97</v>
      </c>
      <c r="C134" s="33" t="s">
        <v>251</v>
      </c>
      <c r="D134" s="36">
        <v>0</v>
      </c>
      <c r="F134" s="28">
        <f>ROUND(SUMIF(Определители!I6:I16,"=4",'Базовые цены с учетом расхода'!H6:H16),2)</f>
        <v>0</v>
      </c>
      <c r="G134" s="28"/>
      <c r="H134" s="28"/>
      <c r="I134" s="28"/>
      <c r="J134" s="32"/>
      <c r="K134" s="32"/>
      <c r="L134" s="28"/>
      <c r="N134" s="33" t="s">
        <v>289</v>
      </c>
    </row>
    <row r="135" spans="1:14" ht="10.5">
      <c r="A135" s="29">
        <v>38</v>
      </c>
      <c r="B135" s="7" t="s">
        <v>98</v>
      </c>
      <c r="C135" s="33" t="s">
        <v>251</v>
      </c>
      <c r="D135" s="36">
        <v>0</v>
      </c>
      <c r="F135" s="28">
        <f>ROUND(SUMIF(Определители!I6:I16,"=4",'Базовые цены с учетом расхода'!N6:N16),2)</f>
        <v>0</v>
      </c>
      <c r="G135" s="28"/>
      <c r="H135" s="28"/>
      <c r="I135" s="28"/>
      <c r="J135" s="32"/>
      <c r="K135" s="32"/>
      <c r="L135" s="28"/>
      <c r="N135" s="33" t="s">
        <v>290</v>
      </c>
    </row>
    <row r="136" spans="1:14" ht="10.5">
      <c r="A136" s="29">
        <v>39</v>
      </c>
      <c r="B136" s="7" t="s">
        <v>99</v>
      </c>
      <c r="C136" s="33" t="s">
        <v>251</v>
      </c>
      <c r="D136" s="36">
        <v>0</v>
      </c>
      <c r="F136" s="28">
        <f>ROUND(SUMIF(Определители!I6:I16,"=4",'Базовые цены с учетом расхода'!O6:O16),2)</f>
        <v>0</v>
      </c>
      <c r="G136" s="28"/>
      <c r="H136" s="28"/>
      <c r="I136" s="28"/>
      <c r="J136" s="32"/>
      <c r="K136" s="32"/>
      <c r="L136" s="28"/>
      <c r="N136" s="33" t="s">
        <v>291</v>
      </c>
    </row>
    <row r="137" spans="1:14" ht="10.5">
      <c r="A137" s="29">
        <v>40</v>
      </c>
      <c r="B137" s="7" t="s">
        <v>90</v>
      </c>
      <c r="C137" s="33" t="s">
        <v>251</v>
      </c>
      <c r="D137" s="36">
        <v>0</v>
      </c>
      <c r="F137" s="28">
        <f>ROUND(СУММПРОИЗВЕСЛИ(1,Определители!I6:I16," ",'Базовые цены с учетом расхода'!M6:M16,Начисления!I6:I16,0),2)</f>
        <v>0</v>
      </c>
      <c r="G137" s="28"/>
      <c r="H137" s="28"/>
      <c r="I137" s="28"/>
      <c r="J137" s="32"/>
      <c r="K137" s="32"/>
      <c r="L137" s="28"/>
      <c r="N137" s="33" t="s">
        <v>292</v>
      </c>
    </row>
    <row r="138" spans="1:14" ht="10.5">
      <c r="A138" s="29">
        <v>41</v>
      </c>
      <c r="B138" s="7" t="s">
        <v>108</v>
      </c>
      <c r="C138" s="33" t="s">
        <v>252</v>
      </c>
      <c r="D138" s="36">
        <v>0</v>
      </c>
      <c r="F138" s="28">
        <f>ROUND((F131+F135+F136),2)</f>
        <v>0</v>
      </c>
      <c r="G138" s="28"/>
      <c r="H138" s="28"/>
      <c r="I138" s="28"/>
      <c r="J138" s="32"/>
      <c r="K138" s="32"/>
      <c r="L138" s="28"/>
      <c r="N138" s="33" t="s">
        <v>293</v>
      </c>
    </row>
    <row r="139" spans="1:14" ht="10.5">
      <c r="A139" s="29">
        <v>42</v>
      </c>
      <c r="B139" s="7" t="s">
        <v>109</v>
      </c>
      <c r="C139" s="33" t="s">
        <v>251</v>
      </c>
      <c r="D139" s="36">
        <v>0</v>
      </c>
      <c r="F139" s="28">
        <f>ROUND(SUMIF(Определители!I6:I16,"=5",'Базовые цены с учетом расхода'!B6:B16),2)</f>
        <v>0</v>
      </c>
      <c r="G139" s="28">
        <f>ROUND(SUMIF(Определители!I6:I16,"=5",'Базовые цены с учетом расхода'!C6:C16),2)</f>
        <v>0</v>
      </c>
      <c r="H139" s="28">
        <f>ROUND(SUMIF(Определители!I6:I16,"=5",'Базовые цены с учетом расхода'!D6:D16),2)</f>
        <v>0</v>
      </c>
      <c r="I139" s="28">
        <f>ROUND(SUMIF(Определители!I6:I16,"=5",'Базовые цены с учетом расхода'!E6:E16),2)</f>
        <v>0</v>
      </c>
      <c r="J139" s="32">
        <f>ROUND(SUMIF(Определители!I6:I16,"=5",'Базовые цены с учетом расхода'!I6:I16),8)</f>
        <v>0</v>
      </c>
      <c r="K139" s="32">
        <f>ROUND(SUMIF(Определители!I6:I16,"=5",'Базовые цены с учетом расхода'!K6:K16),8)</f>
        <v>0</v>
      </c>
      <c r="L139" s="28">
        <f>ROUND(SUMIF(Определители!I6:I16,"=5",'Базовые цены с учетом расхода'!F6:F16),2)</f>
        <v>0</v>
      </c>
      <c r="N139" s="33" t="s">
        <v>294</v>
      </c>
    </row>
    <row r="140" spans="1:14" ht="10.5">
      <c r="A140" s="29">
        <v>43</v>
      </c>
      <c r="B140" s="7" t="s">
        <v>97</v>
      </c>
      <c r="C140" s="33" t="s">
        <v>251</v>
      </c>
      <c r="D140" s="36">
        <v>0</v>
      </c>
      <c r="F140" s="28">
        <f>ROUND(SUMIF(Определители!I6:I16,"=5",'Базовые цены с учетом расхода'!H6:H16),2)</f>
        <v>0</v>
      </c>
      <c r="G140" s="28"/>
      <c r="H140" s="28"/>
      <c r="I140" s="28"/>
      <c r="J140" s="32"/>
      <c r="K140" s="32"/>
      <c r="L140" s="28"/>
      <c r="N140" s="33" t="s">
        <v>295</v>
      </c>
    </row>
    <row r="141" spans="1:14" ht="10.5">
      <c r="A141" s="29">
        <v>44</v>
      </c>
      <c r="B141" s="7" t="s">
        <v>98</v>
      </c>
      <c r="C141" s="33" t="s">
        <v>251</v>
      </c>
      <c r="D141" s="36">
        <v>0</v>
      </c>
      <c r="F141" s="28">
        <f>ROUND(SUMIF(Определители!I6:I16,"=5",'Базовые цены с учетом расхода'!N6:N16),2)</f>
        <v>0</v>
      </c>
      <c r="G141" s="28"/>
      <c r="H141" s="28"/>
      <c r="I141" s="28"/>
      <c r="J141" s="32"/>
      <c r="K141" s="32"/>
      <c r="L141" s="28"/>
      <c r="N141" s="33" t="s">
        <v>296</v>
      </c>
    </row>
    <row r="142" spans="1:14" ht="10.5">
      <c r="A142" s="29">
        <v>45</v>
      </c>
      <c r="B142" s="7" t="s">
        <v>99</v>
      </c>
      <c r="C142" s="33" t="s">
        <v>251</v>
      </c>
      <c r="D142" s="36">
        <v>0</v>
      </c>
      <c r="F142" s="28">
        <f>ROUND(SUMIF(Определители!I6:I16,"=5",'Базовые цены с учетом расхода'!O6:O16),2)</f>
        <v>0</v>
      </c>
      <c r="G142" s="28"/>
      <c r="H142" s="28"/>
      <c r="I142" s="28"/>
      <c r="J142" s="32"/>
      <c r="K142" s="32"/>
      <c r="L142" s="28"/>
      <c r="N142" s="33" t="s">
        <v>297</v>
      </c>
    </row>
    <row r="143" spans="1:14" ht="10.5">
      <c r="A143" s="29">
        <v>46</v>
      </c>
      <c r="B143" s="7" t="s">
        <v>110</v>
      </c>
      <c r="C143" s="33" t="s">
        <v>252</v>
      </c>
      <c r="D143" s="36">
        <v>0</v>
      </c>
      <c r="F143" s="28">
        <f>ROUND((F139+F141+F142),2)</f>
        <v>0</v>
      </c>
      <c r="G143" s="28"/>
      <c r="H143" s="28"/>
      <c r="I143" s="28"/>
      <c r="J143" s="32"/>
      <c r="K143" s="32"/>
      <c r="L143" s="28"/>
      <c r="N143" s="33" t="s">
        <v>298</v>
      </c>
    </row>
    <row r="144" spans="1:14" ht="10.5">
      <c r="A144" s="29">
        <v>47</v>
      </c>
      <c r="B144" s="7" t="s">
        <v>111</v>
      </c>
      <c r="C144" s="33" t="s">
        <v>251</v>
      </c>
      <c r="D144" s="36">
        <v>0</v>
      </c>
      <c r="F144" s="28">
        <f>ROUND(SUMIF(Определители!I6:I16,"=6",'Базовые цены с учетом расхода'!B6:B16),2)</f>
        <v>0</v>
      </c>
      <c r="G144" s="28">
        <f>ROUND(SUMIF(Определители!I6:I16,"=6",'Базовые цены с учетом расхода'!C6:C16),2)</f>
        <v>0</v>
      </c>
      <c r="H144" s="28">
        <f>ROUND(SUMIF(Определители!I6:I16,"=6",'Базовые цены с учетом расхода'!D6:D16),2)</f>
        <v>0</v>
      </c>
      <c r="I144" s="28">
        <f>ROUND(SUMIF(Определители!I6:I16,"=6",'Базовые цены с учетом расхода'!E6:E16),2)</f>
        <v>0</v>
      </c>
      <c r="J144" s="32">
        <f>ROUND(SUMIF(Определители!I6:I16,"=6",'Базовые цены с учетом расхода'!I6:I16),8)</f>
        <v>0</v>
      </c>
      <c r="K144" s="32">
        <f>ROUND(SUMIF(Определители!I6:I16,"=6",'Базовые цены с учетом расхода'!K6:K16),8)</f>
        <v>0</v>
      </c>
      <c r="L144" s="28">
        <f>ROUND(SUMIF(Определители!I6:I16,"=6",'Базовые цены с учетом расхода'!F6:F16),2)</f>
        <v>0</v>
      </c>
      <c r="N144" s="33" t="s">
        <v>299</v>
      </c>
    </row>
    <row r="145" spans="1:14" ht="10.5">
      <c r="A145" s="29">
        <v>48</v>
      </c>
      <c r="B145" s="7" t="s">
        <v>97</v>
      </c>
      <c r="C145" s="33" t="s">
        <v>251</v>
      </c>
      <c r="D145" s="36">
        <v>0</v>
      </c>
      <c r="F145" s="28">
        <f>ROUND(SUMIF(Определители!I6:I16,"=6",'Базовые цены с учетом расхода'!H6:H16),2)</f>
        <v>0</v>
      </c>
      <c r="G145" s="28"/>
      <c r="H145" s="28"/>
      <c r="I145" s="28"/>
      <c r="J145" s="32"/>
      <c r="K145" s="32"/>
      <c r="L145" s="28"/>
      <c r="N145" s="33" t="s">
        <v>300</v>
      </c>
    </row>
    <row r="146" spans="1:14" ht="10.5">
      <c r="A146" s="29">
        <v>49</v>
      </c>
      <c r="B146" s="7" t="s">
        <v>98</v>
      </c>
      <c r="C146" s="33" t="s">
        <v>251</v>
      </c>
      <c r="D146" s="36">
        <v>0</v>
      </c>
      <c r="F146" s="28">
        <f>ROUND(SUMIF(Определители!I6:I16,"=6",'Базовые цены с учетом расхода'!N6:N16),2)</f>
        <v>0</v>
      </c>
      <c r="G146" s="28"/>
      <c r="H146" s="28"/>
      <c r="I146" s="28"/>
      <c r="J146" s="32"/>
      <c r="K146" s="32"/>
      <c r="L146" s="28"/>
      <c r="N146" s="33" t="s">
        <v>301</v>
      </c>
    </row>
    <row r="147" spans="1:14" ht="10.5">
      <c r="A147" s="29">
        <v>50</v>
      </c>
      <c r="B147" s="7" t="s">
        <v>99</v>
      </c>
      <c r="C147" s="33" t="s">
        <v>251</v>
      </c>
      <c r="D147" s="36">
        <v>0</v>
      </c>
      <c r="F147" s="28">
        <f>ROUND(SUMIF(Определители!I6:I16,"=6",'Базовые цены с учетом расхода'!O6:O16),2)</f>
        <v>0</v>
      </c>
      <c r="G147" s="28"/>
      <c r="H147" s="28"/>
      <c r="I147" s="28"/>
      <c r="J147" s="32"/>
      <c r="K147" s="32"/>
      <c r="L147" s="28"/>
      <c r="N147" s="33" t="s">
        <v>302</v>
      </c>
    </row>
    <row r="148" spans="1:14" ht="10.5">
      <c r="A148" s="29">
        <v>51</v>
      </c>
      <c r="B148" s="7" t="s">
        <v>112</v>
      </c>
      <c r="C148" s="33" t="s">
        <v>252</v>
      </c>
      <c r="D148" s="36">
        <v>0</v>
      </c>
      <c r="F148" s="28">
        <f>ROUND((F144+F146+F147),2)</f>
        <v>0</v>
      </c>
      <c r="G148" s="28"/>
      <c r="H148" s="28"/>
      <c r="I148" s="28"/>
      <c r="J148" s="32"/>
      <c r="K148" s="32"/>
      <c r="L148" s="28"/>
      <c r="N148" s="33" t="s">
        <v>303</v>
      </c>
    </row>
    <row r="149" spans="1:14" ht="10.5">
      <c r="A149" s="29">
        <v>52</v>
      </c>
      <c r="B149" s="7" t="s">
        <v>113</v>
      </c>
      <c r="C149" s="33" t="s">
        <v>251</v>
      </c>
      <c r="D149" s="36">
        <v>0</v>
      </c>
      <c r="F149" s="28">
        <f>ROUND(SUMIF(Определители!I6:I16,"=7",'Базовые цены с учетом расхода'!B6:B16),2)</f>
        <v>0</v>
      </c>
      <c r="G149" s="28">
        <f>ROUND(SUMIF(Определители!I6:I16,"=7",'Базовые цены с учетом расхода'!C6:C16),2)</f>
        <v>0</v>
      </c>
      <c r="H149" s="28">
        <f>ROUND(SUMIF(Определители!I6:I16,"=7",'Базовые цены с учетом расхода'!D6:D16),2)</f>
        <v>0</v>
      </c>
      <c r="I149" s="28">
        <f>ROUND(SUMIF(Определители!I6:I16,"=7",'Базовые цены с учетом расхода'!E6:E16),2)</f>
        <v>0</v>
      </c>
      <c r="J149" s="32">
        <f>ROUND(SUMIF(Определители!I6:I16,"=7",'Базовые цены с учетом расхода'!I6:I16),8)</f>
        <v>0</v>
      </c>
      <c r="K149" s="32">
        <f>ROUND(SUMIF(Определители!I6:I16,"=7",'Базовые цены с учетом расхода'!K6:K16),8)</f>
        <v>0</v>
      </c>
      <c r="L149" s="28">
        <f>ROUND(SUMIF(Определители!I6:I16,"=7",'Базовые цены с учетом расхода'!F6:F16),2)</f>
        <v>0</v>
      </c>
      <c r="N149" s="33" t="s">
        <v>304</v>
      </c>
    </row>
    <row r="150" spans="1:14" ht="10.5">
      <c r="A150" s="29">
        <v>53</v>
      </c>
      <c r="B150" s="7" t="s">
        <v>93</v>
      </c>
      <c r="C150" s="33" t="s">
        <v>251</v>
      </c>
      <c r="D150" s="36">
        <v>0</v>
      </c>
      <c r="F150" s="28"/>
      <c r="G150" s="28"/>
      <c r="H150" s="28"/>
      <c r="I150" s="28"/>
      <c r="J150" s="32"/>
      <c r="K150" s="32"/>
      <c r="L150" s="28"/>
      <c r="N150" s="33" t="s">
        <v>305</v>
      </c>
    </row>
    <row r="151" spans="1:14" ht="10.5">
      <c r="A151" s="29">
        <v>54</v>
      </c>
      <c r="B151" s="7" t="s">
        <v>102</v>
      </c>
      <c r="C151" s="33" t="s">
        <v>251</v>
      </c>
      <c r="D151" s="36">
        <v>0</v>
      </c>
      <c r="F151" s="28">
        <f>ROUND(СУММЕСЛИ2(Определители!I6:I16,"2",Определители!G6:G16,"1",'Базовые цены с учетом расхода'!B6:B16),2)</f>
        <v>0</v>
      </c>
      <c r="G151" s="28"/>
      <c r="H151" s="28"/>
      <c r="I151" s="28"/>
      <c r="J151" s="32"/>
      <c r="K151" s="32"/>
      <c r="L151" s="28"/>
      <c r="N151" s="33" t="s">
        <v>306</v>
      </c>
    </row>
    <row r="152" spans="1:14" ht="10.5">
      <c r="A152" s="29">
        <v>55</v>
      </c>
      <c r="B152" s="7" t="s">
        <v>97</v>
      </c>
      <c r="C152" s="33" t="s">
        <v>251</v>
      </c>
      <c r="D152" s="36">
        <v>0</v>
      </c>
      <c r="F152" s="28">
        <f>ROUND(SUMIF(Определители!I6:I16,"=7",'Базовые цены с учетом расхода'!H6:H16),2)</f>
        <v>0</v>
      </c>
      <c r="G152" s="28"/>
      <c r="H152" s="28"/>
      <c r="I152" s="28"/>
      <c r="J152" s="32"/>
      <c r="K152" s="32"/>
      <c r="L152" s="28"/>
      <c r="N152" s="33" t="s">
        <v>307</v>
      </c>
    </row>
    <row r="153" spans="1:14" ht="10.5">
      <c r="A153" s="29">
        <v>56</v>
      </c>
      <c r="B153" s="7" t="s">
        <v>98</v>
      </c>
      <c r="C153" s="33" t="s">
        <v>251</v>
      </c>
      <c r="D153" s="36">
        <v>0</v>
      </c>
      <c r="F153" s="28">
        <f>ROUND(SUMIF(Определители!I6:I16,"=7",'Базовые цены с учетом расхода'!N6:N16),2)</f>
        <v>0</v>
      </c>
      <c r="G153" s="28"/>
      <c r="H153" s="28"/>
      <c r="I153" s="28"/>
      <c r="J153" s="32"/>
      <c r="K153" s="32"/>
      <c r="L153" s="28"/>
      <c r="N153" s="33" t="s">
        <v>308</v>
      </c>
    </row>
    <row r="154" spans="1:14" ht="10.5">
      <c r="A154" s="29">
        <v>57</v>
      </c>
      <c r="B154" s="7" t="s">
        <v>99</v>
      </c>
      <c r="C154" s="33" t="s">
        <v>251</v>
      </c>
      <c r="D154" s="36">
        <v>0</v>
      </c>
      <c r="F154" s="28">
        <f>ROUND(SUMIF(Определители!I6:I16,"=7",'Базовые цены с учетом расхода'!O6:O16),2)</f>
        <v>0</v>
      </c>
      <c r="G154" s="28"/>
      <c r="H154" s="28"/>
      <c r="I154" s="28"/>
      <c r="J154" s="32"/>
      <c r="K154" s="32"/>
      <c r="L154" s="28"/>
      <c r="N154" s="33" t="s">
        <v>309</v>
      </c>
    </row>
    <row r="155" spans="1:14" ht="10.5">
      <c r="A155" s="29">
        <v>58</v>
      </c>
      <c r="B155" s="7" t="s">
        <v>114</v>
      </c>
      <c r="C155" s="33" t="s">
        <v>252</v>
      </c>
      <c r="D155" s="36">
        <v>0</v>
      </c>
      <c r="F155" s="28">
        <f>ROUND((F149+F153+F154),2)</f>
        <v>0</v>
      </c>
      <c r="G155" s="28"/>
      <c r="H155" s="28"/>
      <c r="I155" s="28"/>
      <c r="J155" s="32"/>
      <c r="K155" s="32"/>
      <c r="L155" s="28"/>
      <c r="N155" s="33" t="s">
        <v>310</v>
      </c>
    </row>
    <row r="156" spans="1:14" ht="10.5">
      <c r="A156" s="29">
        <v>59</v>
      </c>
      <c r="B156" s="7" t="s">
        <v>115</v>
      </c>
      <c r="C156" s="33" t="s">
        <v>251</v>
      </c>
      <c r="D156" s="36">
        <v>0</v>
      </c>
      <c r="F156" s="28">
        <f>ROUND(SUMIF(Определители!I6:I16,"=;",'Базовые цены с учетом расхода'!B6:B16),2)</f>
        <v>0</v>
      </c>
      <c r="G156" s="28">
        <f>ROUND(SUMIF(Определители!I6:I16,"=;",'Базовые цены с учетом расхода'!C6:C16),2)</f>
        <v>0</v>
      </c>
      <c r="H156" s="28">
        <f>ROUND(SUMIF(Определители!I6:I16,"=;",'Базовые цены с учетом расхода'!D6:D16),2)</f>
        <v>0</v>
      </c>
      <c r="I156" s="28">
        <f>ROUND(SUMIF(Определители!I6:I16,"=;",'Базовые цены с учетом расхода'!E6:E16),2)</f>
        <v>0</v>
      </c>
      <c r="J156" s="32">
        <f>ROUND(SUMIF(Определители!I6:I16,"=;",'Базовые цены с учетом расхода'!I6:I16),8)</f>
        <v>0</v>
      </c>
      <c r="K156" s="32">
        <f>ROUND(SUMIF(Определители!I6:I16,"=;",'Базовые цены с учетом расхода'!K6:K16),8)</f>
        <v>0</v>
      </c>
      <c r="L156" s="28">
        <f>ROUND(SUMIF(Определители!I6:I16,"=;",'Базовые цены с учетом расхода'!F6:F16),2)</f>
        <v>0</v>
      </c>
      <c r="N156" s="33" t="s">
        <v>311</v>
      </c>
    </row>
    <row r="157" spans="1:14" ht="10.5">
      <c r="A157" s="29">
        <v>60</v>
      </c>
      <c r="B157" s="7" t="s">
        <v>116</v>
      </c>
      <c r="C157" s="33" t="s">
        <v>251</v>
      </c>
      <c r="D157" s="36">
        <v>0</v>
      </c>
      <c r="F157" s="28">
        <f>ROUND(SUMIF(Определители!I6:I16,"=;",'Базовые цены с учетом расхода'!AF6:AF16),2)</f>
        <v>0</v>
      </c>
      <c r="G157" s="28"/>
      <c r="H157" s="28"/>
      <c r="I157" s="28"/>
      <c r="J157" s="32"/>
      <c r="K157" s="32"/>
      <c r="L157" s="28"/>
      <c r="N157" s="33" t="s">
        <v>312</v>
      </c>
    </row>
    <row r="158" spans="1:14" ht="10.5">
      <c r="A158" s="29">
        <v>61</v>
      </c>
      <c r="B158" s="7" t="s">
        <v>117</v>
      </c>
      <c r="C158" s="33" t="s">
        <v>251</v>
      </c>
      <c r="D158" s="36">
        <v>0</v>
      </c>
      <c r="F158" s="28">
        <f>ROUND(SUMIF(Определители!I6:I16,"=;",'Базовые цены с учетом расхода'!AG6:AG16),2)</f>
        <v>0</v>
      </c>
      <c r="G158" s="28"/>
      <c r="H158" s="28"/>
      <c r="I158" s="28"/>
      <c r="J158" s="32"/>
      <c r="K158" s="32"/>
      <c r="L158" s="28"/>
      <c r="N158" s="33" t="s">
        <v>313</v>
      </c>
    </row>
    <row r="159" spans="1:14" ht="10.5">
      <c r="A159" s="29">
        <v>62</v>
      </c>
      <c r="B159" s="7" t="s">
        <v>98</v>
      </c>
      <c r="C159" s="33" t="s">
        <v>251</v>
      </c>
      <c r="D159" s="36">
        <v>0</v>
      </c>
      <c r="F159" s="28">
        <f>ROUND(SUMIF(Определители!I6:I16,"=;",'Базовые цены с учетом расхода'!N6:N16),2)</f>
        <v>0</v>
      </c>
      <c r="G159" s="28"/>
      <c r="H159" s="28"/>
      <c r="I159" s="28"/>
      <c r="J159" s="32"/>
      <c r="K159" s="32"/>
      <c r="L159" s="28"/>
      <c r="N159" s="33" t="s">
        <v>314</v>
      </c>
    </row>
    <row r="160" spans="1:14" ht="10.5">
      <c r="A160" s="29">
        <v>63</v>
      </c>
      <c r="B160" s="7" t="s">
        <v>99</v>
      </c>
      <c r="C160" s="33" t="s">
        <v>251</v>
      </c>
      <c r="D160" s="36">
        <v>0</v>
      </c>
      <c r="F160" s="28">
        <f>ROUND(SUMIF(Определители!I6:I16,"=;",'Базовые цены с учетом расхода'!O6:O16),2)</f>
        <v>0</v>
      </c>
      <c r="G160" s="28"/>
      <c r="H160" s="28"/>
      <c r="I160" s="28"/>
      <c r="J160" s="32"/>
      <c r="K160" s="32"/>
      <c r="L160" s="28"/>
      <c r="N160" s="33" t="s">
        <v>315</v>
      </c>
    </row>
    <row r="161" spans="1:14" ht="10.5">
      <c r="A161" s="29">
        <v>64</v>
      </c>
      <c r="B161" s="7" t="s">
        <v>118</v>
      </c>
      <c r="C161" s="33" t="s">
        <v>252</v>
      </c>
      <c r="D161" s="36">
        <v>0</v>
      </c>
      <c r="F161" s="28">
        <f>ROUND((F156+F159+F160),2)</f>
        <v>0</v>
      </c>
      <c r="G161" s="28"/>
      <c r="H161" s="28"/>
      <c r="I161" s="28"/>
      <c r="J161" s="32"/>
      <c r="K161" s="32"/>
      <c r="L161" s="28"/>
      <c r="N161" s="33" t="s">
        <v>316</v>
      </c>
    </row>
    <row r="162" spans="1:14" ht="10.5">
      <c r="A162" s="29">
        <v>65</v>
      </c>
      <c r="B162" s="7" t="s">
        <v>119</v>
      </c>
      <c r="C162" s="33" t="s">
        <v>251</v>
      </c>
      <c r="D162" s="36">
        <v>0</v>
      </c>
      <c r="F162" s="28">
        <f>ROUND(SUMIF(Определители!I6:I16,"=9",'Базовые цены с учетом расхода'!B6:B16),2)</f>
        <v>0</v>
      </c>
      <c r="G162" s="28">
        <f>ROUND(SUMIF(Определители!I6:I16,"=9",'Базовые цены с учетом расхода'!C6:C16),2)</f>
        <v>0</v>
      </c>
      <c r="H162" s="28">
        <f>ROUND(SUMIF(Определители!I6:I16,"=9",'Базовые цены с учетом расхода'!D6:D16),2)</f>
        <v>0</v>
      </c>
      <c r="I162" s="28">
        <f>ROUND(SUMIF(Определители!I6:I16,"=9",'Базовые цены с учетом расхода'!E6:E16),2)</f>
        <v>0</v>
      </c>
      <c r="J162" s="32">
        <f>ROUND(SUMIF(Определители!I6:I16,"=9",'Базовые цены с учетом расхода'!I6:I16),8)</f>
        <v>0</v>
      </c>
      <c r="K162" s="32">
        <f>ROUND(SUMIF(Определители!I6:I16,"=9",'Базовые цены с учетом расхода'!K6:K16),8)</f>
        <v>0</v>
      </c>
      <c r="L162" s="28">
        <f>ROUND(SUMIF(Определители!I6:I16,"=9",'Базовые цены с учетом расхода'!F6:F16),2)</f>
        <v>0</v>
      </c>
      <c r="N162" s="33" t="s">
        <v>317</v>
      </c>
    </row>
    <row r="163" spans="1:14" ht="10.5">
      <c r="A163" s="29">
        <v>66</v>
      </c>
      <c r="B163" s="7" t="s">
        <v>98</v>
      </c>
      <c r="C163" s="33" t="s">
        <v>251</v>
      </c>
      <c r="D163" s="36">
        <v>0</v>
      </c>
      <c r="F163" s="28">
        <f>ROUND(SUMIF(Определители!I6:I16,"=9",'Базовые цены с учетом расхода'!N6:N16),2)</f>
        <v>0</v>
      </c>
      <c r="G163" s="28"/>
      <c r="H163" s="28"/>
      <c r="I163" s="28"/>
      <c r="J163" s="32"/>
      <c r="K163" s="32"/>
      <c r="L163" s="28"/>
      <c r="N163" s="33" t="s">
        <v>318</v>
      </c>
    </row>
    <row r="164" spans="1:14" ht="10.5">
      <c r="A164" s="29">
        <v>67</v>
      </c>
      <c r="B164" s="7" t="s">
        <v>99</v>
      </c>
      <c r="C164" s="33" t="s">
        <v>251</v>
      </c>
      <c r="D164" s="36">
        <v>0</v>
      </c>
      <c r="F164" s="28">
        <f>ROUND(SUMIF(Определители!I6:I16,"=9",'Базовые цены с учетом расхода'!O6:O16),2)</f>
        <v>0</v>
      </c>
      <c r="G164" s="28"/>
      <c r="H164" s="28"/>
      <c r="I164" s="28"/>
      <c r="J164" s="32"/>
      <c r="K164" s="32"/>
      <c r="L164" s="28"/>
      <c r="N164" s="33" t="s">
        <v>319</v>
      </c>
    </row>
    <row r="165" spans="1:14" ht="10.5">
      <c r="A165" s="29">
        <v>68</v>
      </c>
      <c r="B165" s="7" t="s">
        <v>120</v>
      </c>
      <c r="C165" s="33" t="s">
        <v>252</v>
      </c>
      <c r="D165" s="36">
        <v>0</v>
      </c>
      <c r="F165" s="28">
        <f>ROUND((F162+F163+F164),2)</f>
        <v>0</v>
      </c>
      <c r="G165" s="28"/>
      <c r="H165" s="28"/>
      <c r="I165" s="28"/>
      <c r="J165" s="32"/>
      <c r="K165" s="32"/>
      <c r="L165" s="28"/>
      <c r="N165" s="33" t="s">
        <v>320</v>
      </c>
    </row>
    <row r="166" spans="1:14" ht="10.5">
      <c r="A166" s="29">
        <v>69</v>
      </c>
      <c r="B166" s="7" t="s">
        <v>121</v>
      </c>
      <c r="C166" s="33" t="s">
        <v>251</v>
      </c>
      <c r="D166" s="36">
        <v>0</v>
      </c>
      <c r="F166" s="28">
        <f>ROUND(SUMIF(Определители!I6:I16,"=:",'Базовые цены с учетом расхода'!B6:B16),2)</f>
        <v>0</v>
      </c>
      <c r="G166" s="28">
        <f>ROUND(SUMIF(Определители!I6:I16,"=:",'Базовые цены с учетом расхода'!C6:C16),2)</f>
        <v>0</v>
      </c>
      <c r="H166" s="28">
        <f>ROUND(SUMIF(Определители!I6:I16,"=:",'Базовые цены с учетом расхода'!D6:D16),2)</f>
        <v>0</v>
      </c>
      <c r="I166" s="28">
        <f>ROUND(SUMIF(Определители!I6:I16,"=:",'Базовые цены с учетом расхода'!E6:E16),2)</f>
        <v>0</v>
      </c>
      <c r="J166" s="32">
        <f>ROUND(SUMIF(Определители!I6:I16,"=:",'Базовые цены с учетом расхода'!I6:I16),8)</f>
        <v>0</v>
      </c>
      <c r="K166" s="32">
        <f>ROUND(SUMIF(Определители!I6:I16,"=:",'Базовые цены с учетом расхода'!K6:K16),8)</f>
        <v>0</v>
      </c>
      <c r="L166" s="28">
        <f>ROUND(SUMIF(Определители!I6:I16,"=:",'Базовые цены с учетом расхода'!F6:F16),2)</f>
        <v>0</v>
      </c>
      <c r="N166" s="33" t="s">
        <v>321</v>
      </c>
    </row>
    <row r="167" spans="1:14" ht="10.5">
      <c r="A167" s="29">
        <v>70</v>
      </c>
      <c r="B167" s="7" t="s">
        <v>97</v>
      </c>
      <c r="C167" s="33" t="s">
        <v>251</v>
      </c>
      <c r="D167" s="36">
        <v>0</v>
      </c>
      <c r="F167" s="28">
        <f>ROUND(SUMIF(Определители!I6:I16,"=:",'Базовые цены с учетом расхода'!H6:H16),2)</f>
        <v>0</v>
      </c>
      <c r="G167" s="28"/>
      <c r="H167" s="28"/>
      <c r="I167" s="28"/>
      <c r="J167" s="32"/>
      <c r="K167" s="32"/>
      <c r="L167" s="28"/>
      <c r="N167" s="33" t="s">
        <v>322</v>
      </c>
    </row>
    <row r="168" spans="1:14" ht="10.5">
      <c r="A168" s="29">
        <v>71</v>
      </c>
      <c r="B168" s="7" t="s">
        <v>98</v>
      </c>
      <c r="C168" s="33" t="s">
        <v>251</v>
      </c>
      <c r="D168" s="36">
        <v>0</v>
      </c>
      <c r="F168" s="28">
        <f>ROUND(SUMIF(Определители!I6:I16,"=:",'Базовые цены с учетом расхода'!N6:N16),2)</f>
        <v>0</v>
      </c>
      <c r="G168" s="28"/>
      <c r="H168" s="28"/>
      <c r="I168" s="28"/>
      <c r="J168" s="32"/>
      <c r="K168" s="32"/>
      <c r="L168" s="28"/>
      <c r="N168" s="33" t="s">
        <v>323</v>
      </c>
    </row>
    <row r="169" spans="1:14" ht="10.5">
      <c r="A169" s="29">
        <v>72</v>
      </c>
      <c r="B169" s="7" t="s">
        <v>99</v>
      </c>
      <c r="C169" s="33" t="s">
        <v>251</v>
      </c>
      <c r="D169" s="36">
        <v>0</v>
      </c>
      <c r="F169" s="28">
        <f>ROUND(SUMIF(Определители!I6:I16,"=:",'Базовые цены с учетом расхода'!O6:O16),2)</f>
        <v>0</v>
      </c>
      <c r="G169" s="28"/>
      <c r="H169" s="28"/>
      <c r="I169" s="28"/>
      <c r="J169" s="32"/>
      <c r="K169" s="32"/>
      <c r="L169" s="28"/>
      <c r="N169" s="33" t="s">
        <v>324</v>
      </c>
    </row>
    <row r="170" spans="1:14" ht="10.5">
      <c r="A170" s="29">
        <v>73</v>
      </c>
      <c r="B170" s="7" t="s">
        <v>122</v>
      </c>
      <c r="C170" s="33" t="s">
        <v>252</v>
      </c>
      <c r="D170" s="36">
        <v>0</v>
      </c>
      <c r="F170" s="28">
        <f>ROUND((F166+F168+F169),2)</f>
        <v>0</v>
      </c>
      <c r="G170" s="28"/>
      <c r="H170" s="28"/>
      <c r="I170" s="28"/>
      <c r="J170" s="32"/>
      <c r="K170" s="32"/>
      <c r="L170" s="28"/>
      <c r="N170" s="33" t="s">
        <v>325</v>
      </c>
    </row>
    <row r="171" spans="1:14" ht="10.5">
      <c r="A171" s="29">
        <v>74</v>
      </c>
      <c r="B171" s="7" t="s">
        <v>123</v>
      </c>
      <c r="C171" s="33" t="s">
        <v>251</v>
      </c>
      <c r="D171" s="36">
        <v>0</v>
      </c>
      <c r="F171" s="28">
        <f>ROUND(SUMIF(Определители!I6:I16,"=8",'Базовые цены с учетом расхода'!B6:B16),2)</f>
        <v>0</v>
      </c>
      <c r="G171" s="28">
        <f>ROUND(SUMIF(Определители!I6:I16,"=8",'Базовые цены с учетом расхода'!C6:C16),2)</f>
        <v>0</v>
      </c>
      <c r="H171" s="28">
        <f>ROUND(SUMIF(Определители!I6:I16,"=8",'Базовые цены с учетом расхода'!D6:D16),2)</f>
        <v>0</v>
      </c>
      <c r="I171" s="28">
        <f>ROUND(SUMIF(Определители!I6:I16,"=8",'Базовые цены с учетом расхода'!E6:E16),2)</f>
        <v>0</v>
      </c>
      <c r="J171" s="32">
        <f>ROUND(SUMIF(Определители!I6:I16,"=8",'Базовые цены с учетом расхода'!I6:I16),8)</f>
        <v>0</v>
      </c>
      <c r="K171" s="32">
        <f>ROUND(SUMIF(Определители!I6:I16,"=8",'Базовые цены с учетом расхода'!K6:K16),8)</f>
        <v>0</v>
      </c>
      <c r="L171" s="28">
        <f>ROUND(SUMIF(Определители!I6:I16,"=8",'Базовые цены с учетом расхода'!F6:F16),2)</f>
        <v>0</v>
      </c>
      <c r="N171" s="33" t="s">
        <v>326</v>
      </c>
    </row>
    <row r="172" spans="1:14" ht="10.5">
      <c r="A172" s="29">
        <v>75</v>
      </c>
      <c r="B172" s="7" t="s">
        <v>97</v>
      </c>
      <c r="C172" s="33" t="s">
        <v>251</v>
      </c>
      <c r="D172" s="36">
        <v>0</v>
      </c>
      <c r="F172" s="28">
        <f>ROUND(SUMIF(Определители!I6:I16,"=8",'Базовые цены с учетом расхода'!H6:H16),2)</f>
        <v>0</v>
      </c>
      <c r="G172" s="28"/>
      <c r="H172" s="28"/>
      <c r="I172" s="28"/>
      <c r="J172" s="32"/>
      <c r="K172" s="32"/>
      <c r="L172" s="28"/>
      <c r="N172" s="33" t="s">
        <v>327</v>
      </c>
    </row>
    <row r="173" spans="1:14" ht="10.5">
      <c r="A173" s="29">
        <v>76</v>
      </c>
      <c r="B173" s="7" t="s">
        <v>135</v>
      </c>
      <c r="C173" s="33" t="s">
        <v>252</v>
      </c>
      <c r="D173" s="36">
        <v>0</v>
      </c>
      <c r="F173" s="28">
        <f>ROUND((F108+F118+F125+F130+F138+F143+F148+F155+F165+F170+F171+F161),2)</f>
        <v>83309.97</v>
      </c>
      <c r="G173" s="28">
        <f>ROUND((G108+G118+G125+G130+G138+G143+G148+G155+G165+G170+G171+G161),2)</f>
        <v>0</v>
      </c>
      <c r="H173" s="28">
        <f>ROUND((H108+H118+H125+H130+H138+H143+H148+H155+H165+H170+H171+H161),2)</f>
        <v>0</v>
      </c>
      <c r="I173" s="28">
        <f>ROUND((I108+I118+I125+I130+I138+I143+I148+I155+I165+I170+I171+I161),2)</f>
        <v>0</v>
      </c>
      <c r="J173" s="32">
        <f>ROUND((J108+J118+J125+J130+J138+J143+J148+J155+J165+J170+J171+J161),8)</f>
        <v>0</v>
      </c>
      <c r="K173" s="32">
        <f>ROUND((K108+K118+K125+K130+K138+K143+K148+K155+K165+K170+K171+K161),8)</f>
        <v>0</v>
      </c>
      <c r="L173" s="28">
        <f>ROUND((L108+L118+L125+L130+L138+L143+L148+L155+L165+L170+L171+L161),2)</f>
        <v>0</v>
      </c>
      <c r="N173" s="33" t="s">
        <v>328</v>
      </c>
    </row>
    <row r="174" spans="1:14" ht="10.5">
      <c r="A174" s="29">
        <v>77</v>
      </c>
      <c r="B174" s="7" t="s">
        <v>124</v>
      </c>
      <c r="C174" s="33" t="s">
        <v>252</v>
      </c>
      <c r="D174" s="36">
        <v>0</v>
      </c>
      <c r="F174" s="28">
        <f>ROUND((F114+F122+F127+F134+F140+F145+F152+F167+F172),2)</f>
        <v>0</v>
      </c>
      <c r="G174" s="28"/>
      <c r="H174" s="28"/>
      <c r="I174" s="28"/>
      <c r="J174" s="32"/>
      <c r="K174" s="32"/>
      <c r="L174" s="28"/>
      <c r="N174" s="33" t="s">
        <v>329</v>
      </c>
    </row>
    <row r="175" spans="1:14" ht="10.5">
      <c r="A175" s="29">
        <v>78</v>
      </c>
      <c r="B175" s="7" t="s">
        <v>125</v>
      </c>
      <c r="C175" s="33" t="s">
        <v>252</v>
      </c>
      <c r="D175" s="36">
        <v>0</v>
      </c>
      <c r="F175" s="28">
        <f>ROUND((F115+F123+F128+F135+F141+F146+F153+F163+F168+F159),2)</f>
        <v>250.3</v>
      </c>
      <c r="G175" s="28"/>
      <c r="H175" s="28"/>
      <c r="I175" s="28"/>
      <c r="J175" s="32"/>
      <c r="K175" s="32"/>
      <c r="L175" s="28"/>
      <c r="N175" s="33" t="s">
        <v>330</v>
      </c>
    </row>
    <row r="176" spans="1:14" ht="10.5">
      <c r="A176" s="29">
        <v>79</v>
      </c>
      <c r="B176" s="7" t="s">
        <v>126</v>
      </c>
      <c r="C176" s="33" t="s">
        <v>252</v>
      </c>
      <c r="D176" s="36">
        <v>0</v>
      </c>
      <c r="F176" s="28">
        <f>ROUND((F116+F124+F129+F136+F142+F147+F154+F164+F169+F160),2)</f>
        <v>125.95</v>
      </c>
      <c r="G176" s="28"/>
      <c r="H176" s="28"/>
      <c r="I176" s="28"/>
      <c r="J176" s="32"/>
      <c r="K176" s="32"/>
      <c r="L176" s="28"/>
      <c r="N176" s="33" t="s">
        <v>331</v>
      </c>
    </row>
    <row r="177" spans="1:14" ht="10.5">
      <c r="A177" s="29">
        <v>80</v>
      </c>
      <c r="B177" s="7" t="s">
        <v>41</v>
      </c>
      <c r="C177" s="33" t="s">
        <v>253</v>
      </c>
      <c r="D177" s="36">
        <v>0</v>
      </c>
      <c r="F177" s="28">
        <f>ROUND(SUM('Базовые цены с учетом расхода'!X6:X16),2)</f>
        <v>0</v>
      </c>
      <c r="G177" s="28"/>
      <c r="H177" s="28"/>
      <c r="I177" s="28"/>
      <c r="J177" s="32"/>
      <c r="K177" s="32"/>
      <c r="L177" s="28">
        <f>ROUND(SUM('Базовые цены с учетом расхода'!X6:X16),2)</f>
        <v>0</v>
      </c>
      <c r="N177" s="33" t="s">
        <v>332</v>
      </c>
    </row>
    <row r="178" spans="1:14" ht="10.5">
      <c r="A178" s="29">
        <v>81</v>
      </c>
      <c r="B178" s="7" t="s">
        <v>127</v>
      </c>
      <c r="C178" s="33" t="s">
        <v>253</v>
      </c>
      <c r="D178" s="36">
        <v>0</v>
      </c>
      <c r="F178" s="28">
        <f>ROUND(SUM(G178:N178),2)</f>
        <v>0</v>
      </c>
      <c r="G178" s="28"/>
      <c r="H178" s="28"/>
      <c r="I178" s="28"/>
      <c r="J178" s="32"/>
      <c r="K178" s="32"/>
      <c r="L178" s="28">
        <f>ROUND(SUM('Базовые цены с учетом расхода'!AE6:AE16),2)</f>
        <v>0</v>
      </c>
      <c r="N178" s="33" t="s">
        <v>333</v>
      </c>
    </row>
    <row r="179" spans="1:14" ht="10.5">
      <c r="A179" s="29">
        <v>82</v>
      </c>
      <c r="B179" s="7" t="s">
        <v>128</v>
      </c>
      <c r="C179" s="33" t="s">
        <v>253</v>
      </c>
      <c r="D179" s="36">
        <v>0</v>
      </c>
      <c r="F179" s="28">
        <f>ROUND(SUM('Базовые цены с учетом расхода'!C6:C16),2)</f>
        <v>231.52</v>
      </c>
      <c r="G179" s="28"/>
      <c r="H179" s="28"/>
      <c r="I179" s="28"/>
      <c r="J179" s="32"/>
      <c r="K179" s="32"/>
      <c r="L179" s="28"/>
      <c r="N179" s="33" t="s">
        <v>334</v>
      </c>
    </row>
    <row r="180" spans="1:14" ht="10.5">
      <c r="A180" s="29">
        <v>83</v>
      </c>
      <c r="B180" s="7" t="s">
        <v>129</v>
      </c>
      <c r="C180" s="33" t="s">
        <v>253</v>
      </c>
      <c r="D180" s="36">
        <v>0</v>
      </c>
      <c r="F180" s="28">
        <f>ROUND(SUM('Базовые цены с учетом расхода'!E6:E16),2)</f>
        <v>7.34</v>
      </c>
      <c r="G180" s="28"/>
      <c r="H180" s="28"/>
      <c r="I180" s="28"/>
      <c r="J180" s="32"/>
      <c r="K180" s="32"/>
      <c r="L180" s="28"/>
      <c r="N180" s="33" t="s">
        <v>335</v>
      </c>
    </row>
    <row r="181" spans="1:14" ht="10.5">
      <c r="A181" s="29">
        <v>84</v>
      </c>
      <c r="B181" s="7" t="s">
        <v>130</v>
      </c>
      <c r="C181" s="33" t="s">
        <v>254</v>
      </c>
      <c r="D181" s="36">
        <v>0</v>
      </c>
      <c r="F181" s="28">
        <f>ROUND((F179+F180),2)</f>
        <v>238.86</v>
      </c>
      <c r="G181" s="28"/>
      <c r="H181" s="28"/>
      <c r="I181" s="28"/>
      <c r="J181" s="32"/>
      <c r="K181" s="32"/>
      <c r="L181" s="28"/>
      <c r="N181" s="33" t="s">
        <v>336</v>
      </c>
    </row>
    <row r="182" spans="1:14" ht="10.5">
      <c r="A182" s="29">
        <v>85</v>
      </c>
      <c r="B182" s="7" t="s">
        <v>131</v>
      </c>
      <c r="C182" s="33" t="s">
        <v>253</v>
      </c>
      <c r="D182" s="36">
        <v>0</v>
      </c>
      <c r="F182" s="28"/>
      <c r="G182" s="28"/>
      <c r="H182" s="28"/>
      <c r="I182" s="28"/>
      <c r="J182" s="32">
        <f>ROUND(SUM('Базовые цены с учетом расхода'!I6:I16),8)</f>
        <v>26.350425</v>
      </c>
      <c r="K182" s="32"/>
      <c r="L182" s="28"/>
      <c r="N182" s="33" t="s">
        <v>337</v>
      </c>
    </row>
    <row r="183" spans="1:14" ht="10.5">
      <c r="A183" s="29">
        <v>86</v>
      </c>
      <c r="B183" s="7" t="s">
        <v>132</v>
      </c>
      <c r="C183" s="33" t="s">
        <v>253</v>
      </c>
      <c r="D183" s="36">
        <v>0</v>
      </c>
      <c r="F183" s="28"/>
      <c r="G183" s="28"/>
      <c r="H183" s="28"/>
      <c r="I183" s="28"/>
      <c r="J183" s="32">
        <f>ROUND(SUM('Базовые цены с учетом расхода'!K6:K16),8)</f>
        <v>0.599795</v>
      </c>
      <c r="K183" s="32"/>
      <c r="L183" s="28"/>
      <c r="N183" s="33" t="s">
        <v>338</v>
      </c>
    </row>
    <row r="184" spans="1:14" ht="10.5">
      <c r="A184" s="29">
        <v>87</v>
      </c>
      <c r="B184" s="7" t="s">
        <v>133</v>
      </c>
      <c r="C184" s="33" t="s">
        <v>254</v>
      </c>
      <c r="D184" s="36">
        <v>0</v>
      </c>
      <c r="F184" s="28"/>
      <c r="G184" s="28"/>
      <c r="H184" s="28"/>
      <c r="I184" s="28"/>
      <c r="J184" s="32">
        <f>ROUND((J182+J183),8)</f>
        <v>26.95022</v>
      </c>
      <c r="K184" s="32"/>
      <c r="L184" s="28"/>
      <c r="N184" s="33" t="s">
        <v>339</v>
      </c>
    </row>
  </sheetData>
  <sheetProtection/>
  <mergeCells count="5">
    <mergeCell ref="B7:L8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Л. Бачурин</dc:creator>
  <cp:keywords/>
  <dc:description/>
  <cp:lastModifiedBy>Андрей Л. Бачурин</cp:lastModifiedBy>
  <dcterms:created xsi:type="dcterms:W3CDTF">2018-07-27T14:27:40Z</dcterms:created>
  <dcterms:modified xsi:type="dcterms:W3CDTF">2018-07-27T14:27:40Z</dcterms:modified>
  <cp:category/>
  <cp:version/>
  <cp:contentType/>
  <cp:contentStatus/>
</cp:coreProperties>
</file>